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5445" windowHeight="5880" tabRatio="813" activeTab="0"/>
  </bookViews>
  <sheets>
    <sheet name="Kalkulation_Eigenstrom" sheetId="1" r:id="rId1"/>
    <sheet name="Programmbeschreibung" sheetId="2" r:id="rId2"/>
    <sheet name="Druck" sheetId="3" r:id="rId3"/>
    <sheet name="Vergütungen_Stammdaten" sheetId="4" r:id="rId4"/>
    <sheet name="Aktueller_Stand_EEG_2014" sheetId="5" r:id="rId5"/>
    <sheet name="Einstrahlung" sheetId="6" r:id="rId6"/>
    <sheet name="ZRB" sheetId="7" r:id="rId7"/>
    <sheet name="Grafik_Ertrag" sheetId="8" r:id="rId8"/>
    <sheet name="Grafik_Kosten" sheetId="9" r:id="rId9"/>
  </sheets>
  <definedNames>
    <definedName name="_xlnm.Print_Area" localSheetId="4">'Aktueller_Stand_EEG_2014'!$A$1:$S$123</definedName>
    <definedName name="_xlnm.Print_Area" localSheetId="2">'Druck'!$H$5:$AM$163</definedName>
    <definedName name="_xlnm.Print_Area" localSheetId="5">'Einstrahlung'!$A$1:$AF$75</definedName>
    <definedName name="_xlnm.Print_Area" localSheetId="0">'Kalkulation_Eigenstrom'!$E$1:$T$85</definedName>
    <definedName name="_xlnm.Print_Area" localSheetId="1">'Programmbeschreibung'!$C$1:$AB$199</definedName>
    <definedName name="_xlnm.Print_Titles" localSheetId="1">'Programmbeschreibung'!$1:$7</definedName>
  </definedNames>
  <calcPr fullCalcOnLoad="1"/>
</workbook>
</file>

<file path=xl/comments5.xml><?xml version="1.0" encoding="utf-8"?>
<comments xmlns="http://schemas.openxmlformats.org/spreadsheetml/2006/main">
  <authors>
    <author>605e</author>
  </authors>
  <commentList>
    <comment ref="L27" authorId="0">
      <text>
        <r>
          <rPr>
            <b/>
            <sz val="8"/>
            <rFont val="Tahoma"/>
            <family val="2"/>
          </rPr>
          <t>605e:</t>
        </r>
        <r>
          <rPr>
            <sz val="8"/>
            <rFont val="Tahoma"/>
            <family val="2"/>
          </rPr>
          <t xml:space="preserve">
Werte nach Stichtga 14.01.13 aber ohne korrekturlisten</t>
        </r>
      </text>
    </comment>
  </commentList>
</comments>
</file>

<file path=xl/comments7.xml><?xml version="1.0" encoding="utf-8"?>
<comments xmlns="http://schemas.openxmlformats.org/spreadsheetml/2006/main">
  <authors>
    <author>Werner</author>
  </authors>
  <commentList>
    <comment ref="AA4" authorId="0">
      <text>
        <r>
          <rPr>
            <b/>
            <sz val="8"/>
            <rFont val="Tahoma"/>
            <family val="2"/>
          </rPr>
          <t>Werner:</t>
        </r>
        <r>
          <rPr>
            <sz val="8"/>
            <rFont val="Tahoma"/>
            <family val="2"/>
          </rPr>
          <t xml:space="preserve">
</t>
        </r>
      </text>
    </comment>
  </commentList>
</comments>
</file>

<file path=xl/sharedStrings.xml><?xml version="1.0" encoding="utf-8"?>
<sst xmlns="http://schemas.openxmlformats.org/spreadsheetml/2006/main" count="1812" uniqueCount="743">
  <si>
    <t>Standort</t>
  </si>
  <si>
    <t>Ulm</t>
  </si>
  <si>
    <t>kWh/m², a</t>
  </si>
  <si>
    <t>Glob.strahl.</t>
  </si>
  <si>
    <t>Durchschnittlicher Monatsertrag der Anlage</t>
  </si>
  <si>
    <t>Vergütung</t>
  </si>
  <si>
    <t>Laufzeit:</t>
  </si>
  <si>
    <t>D) Sonstige Kosten</t>
  </si>
  <si>
    <t>Mai  2012</t>
  </si>
  <si>
    <t>Mai  2015</t>
  </si>
  <si>
    <t>Mai  2016</t>
  </si>
  <si>
    <t>April  2012</t>
  </si>
  <si>
    <t>Juni  2012</t>
  </si>
  <si>
    <t>Juli  2012</t>
  </si>
  <si>
    <t>August  2012</t>
  </si>
  <si>
    <t>Oktober  2012</t>
  </si>
  <si>
    <t>September  2012</t>
  </si>
  <si>
    <t>Dezember  2012</t>
  </si>
  <si>
    <t>April  2013</t>
  </si>
  <si>
    <t>Januar  2013</t>
  </si>
  <si>
    <t>März  2013</t>
  </si>
  <si>
    <t>Juni  2013</t>
  </si>
  <si>
    <t>Juli  2013</t>
  </si>
  <si>
    <t>September  2013</t>
  </si>
  <si>
    <t>Oktober  2013</t>
  </si>
  <si>
    <t>November  2013</t>
  </si>
  <si>
    <t>Dezember  2013</t>
  </si>
  <si>
    <t>Januar  2014</t>
  </si>
  <si>
    <t>März  2014</t>
  </si>
  <si>
    <t>April  2014</t>
  </si>
  <si>
    <t>Juni  2014</t>
  </si>
  <si>
    <t>Juli  2014</t>
  </si>
  <si>
    <t>September  2014</t>
  </si>
  <si>
    <t>November  2014</t>
  </si>
  <si>
    <t>Dezember  2014</t>
  </si>
  <si>
    <t>Januar  2015</t>
  </si>
  <si>
    <t>Februar  2015</t>
  </si>
  <si>
    <t>März  2015</t>
  </si>
  <si>
    <t>April  2015</t>
  </si>
  <si>
    <t>Juni  2015</t>
  </si>
  <si>
    <t>Juli  2015</t>
  </si>
  <si>
    <t>August  2015</t>
  </si>
  <si>
    <t>September  2015</t>
  </si>
  <si>
    <t>Oktober  2015</t>
  </si>
  <si>
    <t>November  2015</t>
  </si>
  <si>
    <t>Dezember  2015</t>
  </si>
  <si>
    <t>jährlich</t>
  </si>
  <si>
    <t>Januar  2016</t>
  </si>
  <si>
    <t>Februar  2016</t>
  </si>
  <si>
    <t>März  2016</t>
  </si>
  <si>
    <t>April  2016</t>
  </si>
  <si>
    <t>Juni  2016</t>
  </si>
  <si>
    <t>Juli  2016</t>
  </si>
  <si>
    <t>August  2016</t>
  </si>
  <si>
    <t>September  2016</t>
  </si>
  <si>
    <t>Oktober  2016</t>
  </si>
  <si>
    <t>November  2016</t>
  </si>
  <si>
    <t>Dezember  2016</t>
  </si>
  <si>
    <t>ohne Mwst.</t>
  </si>
  <si>
    <t>Größe in kWp</t>
  </si>
  <si>
    <t>v</t>
  </si>
  <si>
    <t>e</t>
  </si>
  <si>
    <t>e= endgültig</t>
  </si>
  <si>
    <t>v=vorläufig</t>
  </si>
  <si>
    <t>Monat der</t>
  </si>
  <si>
    <t>Inbetriebnahme</t>
  </si>
  <si>
    <t>Januar  2012</t>
  </si>
  <si>
    <t>Februar  2012</t>
  </si>
  <si>
    <t>März  2012</t>
  </si>
  <si>
    <t>Januar  2011</t>
  </si>
  <si>
    <t>Februar  2011</t>
  </si>
  <si>
    <t>März  2011</t>
  </si>
  <si>
    <t>April  2011</t>
  </si>
  <si>
    <t>Mai  2011</t>
  </si>
  <si>
    <t>Juni  2011</t>
  </si>
  <si>
    <t>Juli  2011</t>
  </si>
  <si>
    <t>August  2011</t>
  </si>
  <si>
    <t>September  2011</t>
  </si>
  <si>
    <t>Oktober  2011</t>
  </si>
  <si>
    <t>November  2011</t>
  </si>
  <si>
    <t>Dezember  2011</t>
  </si>
  <si>
    <t>Januar  2010</t>
  </si>
  <si>
    <t>Februar  2010</t>
  </si>
  <si>
    <t>März  2010</t>
  </si>
  <si>
    <t>April  2010</t>
  </si>
  <si>
    <t>Mai  2010</t>
  </si>
  <si>
    <t>Juni  2010</t>
  </si>
  <si>
    <t>Juli  2010</t>
  </si>
  <si>
    <t>August  2010</t>
  </si>
  <si>
    <t>September  2010</t>
  </si>
  <si>
    <t>Oktober  2010</t>
  </si>
  <si>
    <t>November  2010</t>
  </si>
  <si>
    <t>Dezember  2010</t>
  </si>
  <si>
    <t>Januar  2009</t>
  </si>
  <si>
    <t>Februar  2009</t>
  </si>
  <si>
    <t>März  2009</t>
  </si>
  <si>
    <t>April  2009</t>
  </si>
  <si>
    <t>Mai  2009</t>
  </si>
  <si>
    <t>Juni  2009</t>
  </si>
  <si>
    <t>Juli  2009</t>
  </si>
  <si>
    <t>August  2009</t>
  </si>
  <si>
    <t>September  2009</t>
  </si>
  <si>
    <t>Oktober  2009</t>
  </si>
  <si>
    <t>November  2009</t>
  </si>
  <si>
    <t>Dezember  2009</t>
  </si>
  <si>
    <t>€/kWh</t>
  </si>
  <si>
    <t>Größe</t>
  </si>
  <si>
    <t>Vergütungssatz</t>
  </si>
  <si>
    <t xml:space="preserve">maximal für: </t>
  </si>
  <si>
    <t>max.</t>
  </si>
  <si>
    <t>Anteile</t>
  </si>
  <si>
    <r>
      <rPr>
        <sz val="9"/>
        <rFont val="Symbol"/>
        <family val="1"/>
      </rPr>
      <t>Æ</t>
    </r>
    <r>
      <rPr>
        <sz val="9"/>
        <rFont val="Arial"/>
        <family val="2"/>
      </rPr>
      <t xml:space="preserve"> Jahresertrag</t>
    </r>
  </si>
  <si>
    <t>Größe der Anlage</t>
  </si>
  <si>
    <t>Kürzungssätze Eigenstromverbrauch</t>
  </si>
  <si>
    <t>Mindestverbrauch Eigenstrom</t>
  </si>
  <si>
    <t>Monat der Inbetriebnahme</t>
  </si>
  <si>
    <t>Anlagentyp</t>
  </si>
  <si>
    <t>Ertrag im 1. Jahr</t>
  </si>
  <si>
    <t>spezifischer Ertrag</t>
  </si>
  <si>
    <t>Prognose Inflation des Strompreises</t>
  </si>
  <si>
    <t>Begrenzung der Eigenverbrauchsvergütung:  max. bis</t>
  </si>
  <si>
    <t>Begrenzung</t>
  </si>
  <si>
    <t>Eigenverbrauch</t>
  </si>
  <si>
    <t>Mindesteigenverbrauch in kWh</t>
  </si>
  <si>
    <t>verrechneter Eigenverbrauch</t>
  </si>
  <si>
    <t>Ertrag</t>
  </si>
  <si>
    <t>in kWh</t>
  </si>
  <si>
    <t>Max. Anlagengröße</t>
  </si>
  <si>
    <t>in €/kWh</t>
  </si>
  <si>
    <t>Betrag</t>
  </si>
  <si>
    <t>in €</t>
  </si>
  <si>
    <t>Netzeinspeisung</t>
  </si>
  <si>
    <t>in %</t>
  </si>
  <si>
    <t>Jan</t>
  </si>
  <si>
    <t>%</t>
  </si>
  <si>
    <t>Feb</t>
  </si>
  <si>
    <t>Mär</t>
  </si>
  <si>
    <t>Apr</t>
  </si>
  <si>
    <t>Mai</t>
  </si>
  <si>
    <t>Jun</t>
  </si>
  <si>
    <t>Jul</t>
  </si>
  <si>
    <t>Aug</t>
  </si>
  <si>
    <t>Sep</t>
  </si>
  <si>
    <t>Okt</t>
  </si>
  <si>
    <t>Nov</t>
  </si>
  <si>
    <t>Dez</t>
  </si>
  <si>
    <t>Quelle: Deutscher Wetterdienst, Geschäftsfeld Klima- und Umweltberatung</t>
  </si>
  <si>
    <t>Tagessummen der Globalstrahlung auf die Horizontale</t>
  </si>
  <si>
    <t>Durchschnittliche Globalstrahlung pro Tag (kWh/m², Tag); Monatsmittelwerte</t>
  </si>
  <si>
    <t>(20 jährige Durchschnittswerte; Basisjahre:1981 - 2000)</t>
  </si>
  <si>
    <t>Ort</t>
  </si>
  <si>
    <t>Mrz</t>
  </si>
  <si>
    <t>Summe</t>
  </si>
  <si>
    <t>kWh/m²,J.</t>
  </si>
  <si>
    <t>Berlin</t>
  </si>
  <si>
    <t>Hamburg</t>
  </si>
  <si>
    <t>Dortmund</t>
  </si>
  <si>
    <t>Dresden</t>
  </si>
  <si>
    <t>Frankfurt a.M.</t>
  </si>
  <si>
    <t>Würzburg</t>
  </si>
  <si>
    <t>München</t>
  </si>
  <si>
    <t>Mannheim</t>
  </si>
  <si>
    <t>Stuttgart</t>
  </si>
  <si>
    <t>Ravensburg</t>
  </si>
  <si>
    <t>Freiburg</t>
  </si>
  <si>
    <t>ausgewählt:</t>
  </si>
  <si>
    <t>Prüfzeile:</t>
  </si>
  <si>
    <r>
      <t xml:space="preserve">im  Jahresverlauf; </t>
    </r>
    <r>
      <rPr>
        <sz val="10"/>
        <rFont val="Arial"/>
        <family val="2"/>
      </rPr>
      <t>Standort:</t>
    </r>
  </si>
  <si>
    <t>Art der Anlage</t>
  </si>
  <si>
    <t>VERGÜTUNGSSÄTZE und STAMMDATEN:</t>
  </si>
  <si>
    <t>Mwst.-</t>
  </si>
  <si>
    <t>Satz</t>
  </si>
  <si>
    <t>Dachanlage</t>
  </si>
  <si>
    <t>Freilandanlage</t>
  </si>
  <si>
    <t>Anlagentyp:</t>
  </si>
  <si>
    <t>Zentrales Rechen Blatt (ZRB)</t>
  </si>
  <si>
    <t>Anlagengrößen-Typ</t>
  </si>
  <si>
    <t>Standort:</t>
  </si>
  <si>
    <t>Dachanlage; bis 12/2009:</t>
  </si>
  <si>
    <r>
      <t>Dachanlage; bis 12/2009 (</t>
    </r>
    <r>
      <rPr>
        <sz val="10"/>
        <color indexed="10"/>
        <rFont val="Arial"/>
        <family val="2"/>
      </rPr>
      <t>falsch</t>
    </r>
    <r>
      <rPr>
        <sz val="10"/>
        <rFont val="Arial"/>
        <family val="2"/>
      </rPr>
      <t>):</t>
    </r>
  </si>
  <si>
    <t>Ö</t>
  </si>
  <si>
    <t>Formatierung: Förderung der Eigenstromnutzung</t>
  </si>
  <si>
    <t>Text: Förderung der Eigenstromnutzung</t>
  </si>
  <si>
    <t>Dachanlage; 01 bis 06/2010:</t>
  </si>
  <si>
    <t>Die Förderung der Eigenstromnutzung ist 2009 auf Dachanlagen bis 30 kWp beschränkt. Für größere Anlagen wird keine zusätzliche Förderung für Eigenstromnutzung gewährt. Eigenstrom "kostet" 0,4301 €/kWh, da für eigengenutzten Strom keine Einspeisevergütung gewährt wird.</t>
  </si>
  <si>
    <t>Die Förderung der Eigenstromnutzung ist im 1. Halbjahr 2010 auf Dachanlagen bis 30 kWp beschränkt. Für größere Anlagen wird keine zusätzliche Förderung für Eigenstromnutzung gewährt. Eigenstrom "kostet" 0,3914 €/kWh, da für eigengenutzten Strom keine Einspeisevergütung gewährt wird.</t>
  </si>
  <si>
    <t>Dachanlage; 07 bis 12/2010:</t>
  </si>
  <si>
    <t>Die Förderung der Eigenstromnutzung ist 2009 auf Dachanlagen bis 30 kWp beschränkt. Für die eigen verbrauchte Strommenge erhält der Anlagenbetreiber eine um 0,1800 €/kWh gekürzte Einspeisevergütung (für 2009 gilt:  0,4301 - 0,1800 = 0,2501 €/kWh).</t>
  </si>
  <si>
    <t>Die Förderung der Eigenstromnutzung ist im 1. Hj. 2010 auf Dachanlagen bis 30 kWp beschränkt. Für die eigen verbrauchte Strommenge erhält der Anlagenbetreiber eine um 0,1638 €/kWh gekürzte Einspeisevergütung (für  1. Hj. 2010 gilt:  0,3914 - 0,1638 = 0,2276 €/kWh).</t>
  </si>
  <si>
    <t>Die Förderung der Eigenstromnutzung ist im 2. Hj. 2010 auf Dachanlagen bis 500 kWp beschränkt. Für Stromeigenverbrauch erhält der Anlagenbetreiber eine um 0,1638 €/kWh (bis 30%) bzw. 0,1200 €/kWh (über 30%) gekürzte Einspeisevergütung.</t>
  </si>
  <si>
    <r>
      <t>Dachanlage; 07 bis 12/2010 (</t>
    </r>
    <r>
      <rPr>
        <sz val="10"/>
        <color indexed="10"/>
        <rFont val="Arial"/>
        <family val="2"/>
      </rPr>
      <t>falsch</t>
    </r>
    <r>
      <rPr>
        <sz val="10"/>
        <rFont val="Arial"/>
        <family val="2"/>
      </rPr>
      <t>):</t>
    </r>
  </si>
  <si>
    <r>
      <t>Dachanlage; 01 bis 06/2010 (</t>
    </r>
    <r>
      <rPr>
        <sz val="10"/>
        <color indexed="10"/>
        <rFont val="Arial"/>
        <family val="2"/>
      </rPr>
      <t>falsch</t>
    </r>
    <r>
      <rPr>
        <sz val="10"/>
        <rFont val="Arial"/>
        <family val="2"/>
      </rPr>
      <t>):</t>
    </r>
  </si>
  <si>
    <t>Dachanlage; 01 bis 12/2011:</t>
  </si>
  <si>
    <r>
      <t>Dachanlage; 01 bis 12/2011 (</t>
    </r>
    <r>
      <rPr>
        <sz val="10"/>
        <color indexed="10"/>
        <rFont val="Arial"/>
        <family val="2"/>
      </rPr>
      <t>falsch</t>
    </r>
    <r>
      <rPr>
        <sz val="10"/>
        <rFont val="Arial"/>
        <family val="2"/>
      </rPr>
      <t>):</t>
    </r>
  </si>
  <si>
    <t>Die Förderung der Eigenstromnutzung ist 2011 auf Dachanlagen bis 500 kWp beschränkt. Für Stromeigenverbrauch erhält der Anlagenbetreiber eine um 0,1638 €/kWh (bis 30%) bzw. 0,1200 €/kWh (über 30%) gekürzte Einspeisevergütung.</t>
  </si>
  <si>
    <t>Die Förderung der Eigenstromnutzung ist 2011 auf Dachanlagen bis 500 kWp beschränkt. Für größere Anlagen wird keine zusätzliche Förderung für Eigenstromnutzung gewährt. Die Eigenstromkosten liegen in Höhe der Einspeisevergütungen, da für Eigenstromnutzung keine Vergütung gewährt wird.</t>
  </si>
  <si>
    <t>Die Förderung der Eigenstromnutzung ist im 2. Halbjahr 2010 auf Dachanlagen bis 500 kWp beschränkt. Für größere Anlagen wird keine zusätzliche Förderung für Eigenstromnutzung gewährt. Die Eigenstromkosten liegen in Höhe der Einspeisevergütungen, da für Eigenstromnutzung keine Vergütung gewährt wird.</t>
  </si>
  <si>
    <t>Dachanlage; 01 bis 03/2012:</t>
  </si>
  <si>
    <r>
      <t>Dachanlage; 01 bis 03/2012 (</t>
    </r>
    <r>
      <rPr>
        <sz val="10"/>
        <color indexed="10"/>
        <rFont val="Arial"/>
        <family val="2"/>
      </rPr>
      <t>falsch</t>
    </r>
    <r>
      <rPr>
        <sz val="10"/>
        <rFont val="Arial"/>
        <family val="2"/>
      </rPr>
      <t>):</t>
    </r>
  </si>
  <si>
    <t>Die Förderung der Eigenstromnutzung ist im 1. Quartal 2012 auf Dachanlagen bis 500 kWp beschränkt. Für Stromeigenverbrauch erhält der Anlagenbetreiber eine um 0,1638 €/kWh (bis 30%) bzw. 0,1200 €/kWh (über 30%) gekürzte Einspeisevergütung. Ab 04/2012 entfällt die Eigenstromförderung !</t>
  </si>
  <si>
    <t>Die Förderung der Eigenstromnutzung ist im 1. Quartal 2012 auf Dachanlagen bis 500 kWp beschränkt. Für größere Anlagen wird keine zusätzliche Förderung für Eigenstromnutzung gewährt. Die Eigenstromkosten liegen in Höhe der Einspeisevergütungen, da für Eigenstromnutzung keine Vergütung gewährt wird.</t>
  </si>
  <si>
    <t>Dachanlage; nach 04/2012:</t>
  </si>
  <si>
    <t>Freilandanlage:</t>
  </si>
  <si>
    <t xml:space="preserve">PV-Anlage (Herstellungskosten) </t>
  </si>
  <si>
    <t>kWh/ m², Tag</t>
  </si>
  <si>
    <t>kWh/Tag</t>
  </si>
  <si>
    <t>Mindesteigenverbrauch 0 - 10 kWp</t>
  </si>
  <si>
    <t>Mindesteigenverbrauch 10 - 1000 kWp</t>
  </si>
  <si>
    <t>Mindesteigenverbrauch in %  (gültig)</t>
  </si>
  <si>
    <t>Anlagenlaufzeit  (Laufzeit Module)</t>
  </si>
  <si>
    <t>SHKW - Nutzungszeitraum</t>
  </si>
  <si>
    <t>gesamt</t>
  </si>
  <si>
    <t>Eigenstrom</t>
  </si>
  <si>
    <t>Kontrolle:</t>
  </si>
  <si>
    <t>Herstellungskosten gesamt - je kWp</t>
  </si>
  <si>
    <t>A) Kapitalgebundene Kosten</t>
  </si>
  <si>
    <t>C) Betriebsgebundene Kosten</t>
  </si>
  <si>
    <t>Kapitalgebundene Kosten (PV-Anlage)</t>
  </si>
  <si>
    <t>B) Verbrauchsgebundene Kosten (ohne Brennstoffkosten)</t>
  </si>
  <si>
    <t>Mindesteigenverbrauch 1000-10000 kWp</t>
  </si>
  <si>
    <t>Stromverkauf</t>
  </si>
  <si>
    <t>Verkauf</t>
  </si>
  <si>
    <t>Strom-</t>
  </si>
  <si>
    <t xml:space="preserve"> gesamt</t>
  </si>
  <si>
    <t>max. EEG-Vergütungs- Laufzeit</t>
  </si>
  <si>
    <t>Vergütungsanteil Stromverkauf EEG</t>
  </si>
  <si>
    <t>Vergütungsanteil Stromverkauf frei</t>
  </si>
  <si>
    <t>Erlös Stromverkauf außerhlab EEG</t>
  </si>
  <si>
    <t>Verzinsung des Kapitals</t>
  </si>
  <si>
    <t>Eigenstromvergütung</t>
  </si>
  <si>
    <t>max. Größe Eigenstrom-Anlage</t>
  </si>
  <si>
    <t>Vergüt(100%)</t>
  </si>
  <si>
    <t>Preis</t>
  </si>
  <si>
    <t>Kürzung</t>
  </si>
  <si>
    <t>Hinweistexte (Blatt:  Planung_SHKW):</t>
  </si>
  <si>
    <t>Hinweistexte (Blatt:  Herstellungkosten_Kalkulation):</t>
  </si>
  <si>
    <t xml:space="preserve">Für Freilandanlagen wurde zu keiner Zeit eine Förderung der Eigenstromnutzung gewährt. </t>
  </si>
  <si>
    <t xml:space="preserve">Dachanlagen über 30 kWp erhalten keine Förderung der Eigenstromnutzung  zwischen 01/2009 und 06/2010. </t>
  </si>
  <si>
    <t>Dachanlage; bis 06/2010:</t>
  </si>
  <si>
    <r>
      <t>Dachanlage; bis 06/2010 (</t>
    </r>
    <r>
      <rPr>
        <sz val="10"/>
        <color indexed="10"/>
        <rFont val="Arial"/>
        <family val="2"/>
      </rPr>
      <t>falsch</t>
    </r>
    <r>
      <rPr>
        <sz val="10"/>
        <rFont val="Arial"/>
        <family val="2"/>
      </rPr>
      <t>):</t>
    </r>
  </si>
  <si>
    <t>Dachanlage; 07/2010 bis 03/2012:</t>
  </si>
  <si>
    <r>
      <t>Dachanlage 07/10-03/2012 (</t>
    </r>
    <r>
      <rPr>
        <sz val="10"/>
        <color indexed="10"/>
        <rFont val="Arial"/>
        <family val="2"/>
      </rPr>
      <t>falsch</t>
    </r>
    <r>
      <rPr>
        <sz val="10"/>
        <rFont val="Arial"/>
        <family val="2"/>
      </rPr>
      <t>):</t>
    </r>
  </si>
  <si>
    <t xml:space="preserve">Dachanlagen über 500 kWp erhalten keine Förderung der Eigenstromnutzung  zwischen 07/2010 und 03/2012. </t>
  </si>
  <si>
    <t>Ab 04/2012 entfällt die Förderung der Eigenstromnutzung durch das EEG. Es wird kein Eigenverbrauchsbonus mehr gewährt.</t>
  </si>
  <si>
    <t>Formatierung: Bereich Eigenverbrauchsbonus</t>
  </si>
  <si>
    <t>bis</t>
  </si>
  <si>
    <t>Kein Eigenverbrauch eingeplant</t>
  </si>
  <si>
    <t>LEER Eigenverbrauch =0</t>
  </si>
  <si>
    <t>LEER keine Anlage geplant</t>
  </si>
  <si>
    <t>keine Anlage erfasst !!</t>
  </si>
  <si>
    <t>Strompreis heute</t>
  </si>
  <si>
    <t>durchschnittlicher Strompreis</t>
  </si>
  <si>
    <t>Ertrag im 1. Jahr:</t>
  </si>
  <si>
    <t xml:space="preserve">Sonstiges (Herstellungskosten) </t>
  </si>
  <si>
    <t>Kapitalgebundene Kosten (Sonstiges)</t>
  </si>
  <si>
    <t>Herstellungskosten gesamt (PV &amp; Sonstiges)</t>
  </si>
  <si>
    <t>Balken</t>
  </si>
  <si>
    <t>Grafikdaten Ertrag</t>
  </si>
  <si>
    <t>Mittelwert</t>
  </si>
  <si>
    <t>unterer Wert</t>
  </si>
  <si>
    <t>oberer Wert</t>
  </si>
  <si>
    <t>Markierung</t>
  </si>
  <si>
    <t>Jahresertrag</t>
  </si>
  <si>
    <t>Tage/Monat</t>
  </si>
  <si>
    <t>y-Achse:</t>
  </si>
  <si>
    <t xml:space="preserve">Æ </t>
  </si>
  <si>
    <t>kWh/kWp,Tag</t>
  </si>
  <si>
    <t>kWh / Tag</t>
  </si>
  <si>
    <t>high*</t>
  </si>
  <si>
    <t>low*</t>
  </si>
  <si>
    <t>Grafikdaten:</t>
  </si>
  <si>
    <t>unten</t>
  </si>
  <si>
    <t>oben</t>
  </si>
  <si>
    <t>Systemalterung</t>
  </si>
  <si>
    <t>Stromverwendung</t>
  </si>
  <si>
    <t xml:space="preserve">Eigenverbrauch </t>
  </si>
  <si>
    <t>Hilfsstrom</t>
  </si>
  <si>
    <t>PV-Versicherung</t>
  </si>
  <si>
    <t>Wechselrichter</t>
  </si>
  <si>
    <t>Kosten</t>
  </si>
  <si>
    <t>Text Eigenverbrauch</t>
  </si>
  <si>
    <t>aktuell</t>
  </si>
  <si>
    <t>Zählermiete (an Netzbetreiber)</t>
  </si>
  <si>
    <t>Grafikdaten Kosten</t>
  </si>
  <si>
    <t>Mindesteigenverbrauch</t>
  </si>
  <si>
    <t>- Stromverkauf</t>
  </si>
  <si>
    <t>- EVB-Bonus</t>
  </si>
  <si>
    <t>Kosten EVB</t>
  </si>
  <si>
    <t>EVB (kWh)</t>
  </si>
  <si>
    <t>je kWh</t>
  </si>
  <si>
    <t>Laufzeit der Anlage</t>
  </si>
  <si>
    <t>untere Anzeigegrenze</t>
  </si>
  <si>
    <t>obere Anzeigegrenze</t>
  </si>
  <si>
    <t>€ / kWh</t>
  </si>
  <si>
    <t>Vorteil bei Eigenstromverbrauch</t>
  </si>
  <si>
    <t>Gesamtvorteil bei Eigenstromverbrauch</t>
  </si>
  <si>
    <t>keine Ergebnisdarstellung bei:  Anlagekosten kleiner ( &lt;)</t>
  </si>
  <si>
    <t>Ergebnisdarstellung</t>
  </si>
  <si>
    <t>keine Ergebnisdarstellung bei:  Größe der Anlage = 0</t>
  </si>
  <si>
    <t>Verzinsung gesamt</t>
  </si>
  <si>
    <t>Solarertrag</t>
  </si>
  <si>
    <t xml:space="preserve">(Freiland-/ Dachanlage)   </t>
  </si>
  <si>
    <t xml:space="preserve">(12 Standorte zur Wahl)         </t>
  </si>
  <si>
    <t xml:space="preserve">( ab 01/2009)  </t>
  </si>
  <si>
    <t>kWh/kWp</t>
  </si>
  <si>
    <r>
      <t xml:space="preserve">Æ </t>
    </r>
    <r>
      <rPr>
        <b/>
        <sz val="10"/>
        <rFont val="Arial"/>
        <family val="2"/>
      </rPr>
      <t>*</t>
    </r>
  </si>
  <si>
    <t xml:space="preserve"> Förderung der Eigenstromnutzung</t>
  </si>
  <si>
    <t>o. Mwst.</t>
  </si>
  <si>
    <t xml:space="preserve"> Jahreskosten</t>
  </si>
  <si>
    <t xml:space="preserve"> Herstellungskosten</t>
  </si>
  <si>
    <t xml:space="preserve">(Annuitätenmethode)         </t>
  </si>
  <si>
    <t>Steuererklärungen (Umsatz- / Ertragsteuer)</t>
  </si>
  <si>
    <t>Inbetriebnahme-Monat</t>
  </si>
  <si>
    <t>Jahreskosten der Anlage (ohne Stromkosten)</t>
  </si>
  <si>
    <t>PV-Anlage (Module, AC &amp; DC-Kabel, etc.)</t>
  </si>
  <si>
    <t>Strom - Eigenverbrauch in Prozent (%)</t>
  </si>
  <si>
    <t>A) Kapitalgebundene Kosten (jährlich)</t>
  </si>
  <si>
    <t>B) Verbrauchsgebundene Kosten (jährlich)</t>
  </si>
  <si>
    <t>C) Betriebsgebundene Kosten (jährlich)</t>
  </si>
  <si>
    <t>D) Sonstige Kosten (jährlich)</t>
  </si>
  <si>
    <t xml:space="preserve"> VORTEIL der Eigenstromnutzung</t>
  </si>
  <si>
    <t>Prognose:</t>
  </si>
  <si>
    <t>Inflationsrate Strompreis</t>
  </si>
  <si>
    <t>Ø Strompreis</t>
  </si>
  <si>
    <t>Jahre</t>
  </si>
  <si>
    <t>Unterkonstruktion / Montagegestell</t>
  </si>
  <si>
    <t>Eigenverbrauch aktuell</t>
  </si>
  <si>
    <r>
      <t xml:space="preserve">Strom-Bezugspreis heute </t>
    </r>
    <r>
      <rPr>
        <b/>
        <sz val="9"/>
        <rFont val="Arial"/>
        <family val="2"/>
      </rPr>
      <t>(ohne Mwst.)</t>
    </r>
  </si>
  <si>
    <t>Kosten des Eigenstromverbrauchs (in €/kWh)</t>
  </si>
  <si>
    <t xml:space="preserve">  Jährliche Kosten der Anlage (ohne Stromkosten)</t>
  </si>
  <si>
    <t>= jährliche Kosten des Eigenstromverbrauchs (gesamt):</t>
  </si>
  <si>
    <r>
      <rPr>
        <sz val="10"/>
        <rFont val="Calibri"/>
        <family val="2"/>
      </rPr>
      <t>Ø</t>
    </r>
    <r>
      <rPr>
        <sz val="10"/>
        <rFont val="Arial"/>
        <family val="2"/>
      </rPr>
      <t xml:space="preserve"> Solarertrag pro Jahr</t>
    </r>
  </si>
  <si>
    <t xml:space="preserve"> Kosten des Eigenstromverbrauchs</t>
  </si>
  <si>
    <r>
      <t xml:space="preserve">&gt;&gt; Eigenstrom-Verbrauch </t>
    </r>
    <r>
      <rPr>
        <sz val="9"/>
        <rFont val="Arial"/>
        <family val="2"/>
      </rPr>
      <t>(in % des Solarertrags bzw. kWh/a)</t>
    </r>
  </si>
  <si>
    <r>
      <t>Strom-Eigenverbrauchsbonus</t>
    </r>
    <r>
      <rPr>
        <sz val="9"/>
        <rFont val="Arial"/>
        <family val="2"/>
      </rPr>
      <t xml:space="preserve"> (01/2009 bis 03/2012)</t>
    </r>
  </si>
  <si>
    <t>- Strom-Eigenverbrauchsbonus</t>
  </si>
  <si>
    <t>- Erlöse Einspeisevergütung &amp; Eigenvermarktung  (Stromverkauf)</t>
  </si>
  <si>
    <t>o.Mwst.</t>
  </si>
  <si>
    <t>Wartung / Instandhalt. Technik</t>
  </si>
  <si>
    <t>Für Freilandanlagen wurde zu keiner Zeit eine Förderung der Eigenstromnutzung gewährt.</t>
  </si>
  <si>
    <t>© Werner Schmid</t>
  </si>
  <si>
    <t>Haupt-
menü</t>
  </si>
  <si>
    <t>Anlage</t>
  </si>
  <si>
    <t>- abzgl. System- Alterung</t>
  </si>
  <si>
    <t>PV - Eigenstromrechner</t>
  </si>
  <si>
    <t xml:space="preserve"> Eingabefelder</t>
  </si>
  <si>
    <t>ANLAGE</t>
  </si>
  <si>
    <r>
      <t xml:space="preserve">Standort </t>
    </r>
    <r>
      <rPr>
        <sz val="9"/>
        <rFont val="Arial"/>
        <family val="2"/>
      </rPr>
      <t>(Region)</t>
    </r>
  </si>
  <si>
    <t>KOSTEN</t>
  </si>
  <si>
    <t>Herstellungskosten PV-Anlage</t>
  </si>
  <si>
    <t>Herstellungskosten Sonstiges</t>
  </si>
  <si>
    <t>Herstellungskosten</t>
  </si>
  <si>
    <t>Jahreskosten</t>
  </si>
  <si>
    <t>Dimensionierung</t>
  </si>
  <si>
    <t>Solarertrag (Prognose)</t>
  </si>
  <si>
    <t>A) Kapitalgebundene Kosten (ohne Zinsansatz)</t>
  </si>
  <si>
    <t>B) Verbrauchsgebundene Kosten</t>
  </si>
  <si>
    <t xml:space="preserve">Erlöse </t>
  </si>
  <si>
    <t>Erlöse</t>
  </si>
  <si>
    <t>davon Netzeinspeisung</t>
  </si>
  <si>
    <t>Kosten der Eigenstromnutzung</t>
  </si>
  <si>
    <r>
      <rPr>
        <b/>
        <sz val="9"/>
        <color indexed="14"/>
        <rFont val="Arial"/>
        <family val="2"/>
      </rPr>
      <t>Laufzeit</t>
    </r>
    <r>
      <rPr>
        <sz val="9"/>
        <rFont val="Arial"/>
        <family val="2"/>
      </rPr>
      <t xml:space="preserve"> der PV-Anlage</t>
    </r>
  </si>
  <si>
    <r>
      <t xml:space="preserve">davon </t>
    </r>
    <r>
      <rPr>
        <b/>
        <sz val="9"/>
        <color indexed="14"/>
        <rFont val="Arial"/>
        <family val="2"/>
      </rPr>
      <t>Eigenstromverbrauch</t>
    </r>
  </si>
  <si>
    <t>Erlöserwartung</t>
  </si>
  <si>
    <t>(hier klicken)</t>
  </si>
  <si>
    <r>
      <rPr>
        <b/>
        <sz val="9"/>
        <color indexed="14"/>
        <rFont val="Arial"/>
        <family val="2"/>
      </rPr>
      <t>Verzinsung *</t>
    </r>
    <r>
      <rPr>
        <sz val="9"/>
        <rFont val="Arial"/>
        <family val="2"/>
      </rPr>
      <t xml:space="preserve"> des Kapitals</t>
    </r>
  </si>
  <si>
    <t>* Annuitätenmethode</t>
  </si>
  <si>
    <t>Kosten Eigenstrom</t>
  </si>
  <si>
    <t xml:space="preserve">Druck </t>
  </si>
  <si>
    <t>(bitte Klicken um die Blätter aufzurufen)</t>
  </si>
  <si>
    <t xml:space="preserve"> Eingaben erfolgen durch Pfeiltasten</t>
  </si>
  <si>
    <t>Ab 04/2012 entfällt die Förderung der Eigenstromnutzung durch das EEG. Bei Dachanlagen von 10 - 1.000 kWp wird  darüber hinaus eine "Mindesteigenstromnutzung" von 10% gefordert (Die Einspeisevergütung wurde beschränkt auf 90% des erzeugten Stroms; Marktintegrationsmodell EEG)</t>
  </si>
  <si>
    <t>Info: Durchschnittliche Vergütung bei 100% Stromverkauf</t>
  </si>
  <si>
    <t>Dachanlagen</t>
  </si>
  <si>
    <t>Freilandanlagen</t>
  </si>
  <si>
    <t>Grafikdaten</t>
  </si>
  <si>
    <t>geplante Laufzeit der Anlage</t>
  </si>
  <si>
    <t>Solarertrag im 1. Jahr</t>
  </si>
  <si>
    <t>Eigenstromverwendung</t>
  </si>
  <si>
    <t>&gt;&gt; Stromverkauf / Netzeinspeisung</t>
  </si>
  <si>
    <r>
      <t xml:space="preserve">Erlöse Stromverkauf / Netzeinspeisung; </t>
    </r>
    <r>
      <rPr>
        <sz val="9"/>
        <rFont val="Symbol"/>
        <family val="1"/>
      </rPr>
      <t>Æ</t>
    </r>
    <r>
      <rPr>
        <sz val="9"/>
        <rFont val="Arial"/>
        <family val="2"/>
      </rPr>
      <t xml:space="preserve"> jährlich</t>
    </r>
  </si>
  <si>
    <t>Strom-Eigenverbrauchsbonus</t>
  </si>
  <si>
    <t>Ein Stromeigenverbrauchsbonus wurde nur für Anlagen v. 01/2009 bis 03/2012 gewährt.</t>
  </si>
  <si>
    <t>Erlöse Stromverkauf / Eigenverbrauchsbonus</t>
  </si>
  <si>
    <r>
      <t xml:space="preserve">Standort </t>
    </r>
    <r>
      <rPr>
        <sz val="11"/>
        <rFont val="Arial"/>
        <family val="2"/>
      </rPr>
      <t>(Region)</t>
    </r>
  </si>
  <si>
    <t>(ohne Mwst.)</t>
  </si>
  <si>
    <t>Programmbeschreibung</t>
  </si>
  <si>
    <t>Programmvoraussetzungen</t>
  </si>
  <si>
    <t>Das Programm ist auf anderer Sofware (z.B. OpenOffice) leider nicht lauffähig.</t>
  </si>
  <si>
    <t>Das vorliegenden Programm soll</t>
  </si>
  <si>
    <t>www.lel-bw.de</t>
  </si>
  <si>
    <t>1.</t>
  </si>
  <si>
    <r>
      <t>Ergebnisse:</t>
    </r>
    <r>
      <rPr>
        <b/>
        <sz val="12"/>
        <rFont val="Arial"/>
        <family val="2"/>
      </rPr>
      <t xml:space="preserve"> </t>
    </r>
    <r>
      <rPr>
        <sz val="10"/>
        <rFont val="Arial"/>
        <family val="2"/>
      </rPr>
      <t xml:space="preserve">Folgende Parameter </t>
    </r>
    <r>
      <rPr>
        <sz val="10"/>
        <rFont val="Arial"/>
        <family val="0"/>
      </rPr>
      <t>werden berechnet:</t>
    </r>
  </si>
  <si>
    <t>Hinweis: In der Anwendung werden ausschließlich Daten ohne Mehrwertsteuer verrechnet. D.h. im Bereich der</t>
  </si>
  <si>
    <t>Umsatzsteuer wird Regelbesteuerung unterstellt, der Anlagenbetreiber erklärt diese gegenüber dem Finanzamt.</t>
  </si>
  <si>
    <t>2.</t>
  </si>
  <si>
    <t>2.1.</t>
  </si>
  <si>
    <r>
      <t xml:space="preserve">  Strom-Produktionsleistung der Anlage bei idealer Einstrahlung</t>
    </r>
    <r>
      <rPr>
        <sz val="8"/>
        <rFont val="Arial"/>
        <family val="2"/>
      </rPr>
      <t xml:space="preserve"> (Leistung unter Normbedingungen)</t>
    </r>
    <r>
      <rPr>
        <sz val="10"/>
        <rFont val="Arial"/>
        <family val="0"/>
      </rPr>
      <t>.</t>
    </r>
  </si>
  <si>
    <t>(Voreinstellung: Standort = Stuttgart)</t>
  </si>
  <si>
    <t>2.2.</t>
  </si>
  <si>
    <t xml:space="preserve">  </t>
  </si>
  <si>
    <t>2.3.</t>
  </si>
  <si>
    <t>(Voreinstellung: 930 kWh / kWp)</t>
  </si>
  <si>
    <r>
      <t xml:space="preserve"> -</t>
    </r>
    <r>
      <rPr>
        <b/>
        <i/>
        <sz val="10"/>
        <color indexed="57"/>
        <rFont val="Arial"/>
        <family val="2"/>
      </rPr>
      <t>System - Alterung:</t>
    </r>
    <r>
      <rPr>
        <sz val="10"/>
        <rFont val="Arial"/>
        <family val="0"/>
      </rPr>
      <t xml:space="preserve"> Das Gesamtsystem kann einer gewissen Alterung unterliegen. Diese beträgt bei</t>
    </r>
  </si>
  <si>
    <t xml:space="preserve">  Systemen mit mono- bzw. polykristallinen Si-Modulen  i.d.R. weniger als 0,5% jährlich. Für Systeme</t>
  </si>
  <si>
    <t xml:space="preserve">  Die Modulhersteller sichern meist Leistungsgarantien  von mind. 80% und mehr für eine Laufzeit </t>
  </si>
  <si>
    <t xml:space="preserve">  von 20 bis 25 Jahre (bei Glas-Glas-Modulen sogar in Einzelfällen bis 30 Jahre) zu.</t>
  </si>
  <si>
    <t>(Voreinstellung: 0,5% Alterung jährlich)</t>
  </si>
  <si>
    <t>2.4.</t>
  </si>
  <si>
    <t>2.5.</t>
  </si>
  <si>
    <t>2.6.</t>
  </si>
  <si>
    <t>2.7.</t>
  </si>
  <si>
    <t>Herausgeber:</t>
  </si>
  <si>
    <t>Landesanstalt für Entwicklung der Landwirtschaft und der ländlichen Räume (LEL)</t>
  </si>
  <si>
    <t xml:space="preserve">Oberbettringer Straße 162; 73525 Schwäbisch Gmünd; </t>
  </si>
  <si>
    <t>Tel.: 07171 / 917-100; Fax: 07171 / 917-101; E-Mail: poststelle@lel.bwl.de</t>
  </si>
  <si>
    <t>Ansprechpartner zum Programm: Herr Schmid (Tel. 07171 / 917-207;    E-Mail: werner.schmid@lel.bwl.de)</t>
  </si>
  <si>
    <t>Für Kommentare, Anregungen und Verbesserungsvorschläge  sind wir jederzeit dankbar!</t>
  </si>
  <si>
    <t xml:space="preserve">Sorgfalt erstellt und getestet. Für Aktualität, Korrektheit, Vollständigkeit oder Qualität  </t>
  </si>
  <si>
    <t>wird jedoch keine Gewähr übernommen. Haftungsansprüche für Schäden materieller oder</t>
  </si>
  <si>
    <t>oder immaterieller Art, die durch die Nutzung oder Nichtnutzung des Programms verursacht</t>
  </si>
  <si>
    <t>werden sind grundsätzlich ausgeschlossen, sofern seitens des Autors oder Herausgebers</t>
  </si>
  <si>
    <t>kein nachweislich vorsätzliches oder grob fahrlässiges Verschulden vorliegt.</t>
  </si>
  <si>
    <t>Die Veränderung dieser Datei und die Weitergabe veränderter Kopien ist ausdrücklich untersagt.</t>
  </si>
  <si>
    <t>Die Weitergabe unveränderter Kopien ist zulässig !</t>
  </si>
  <si>
    <t>PV-Eigenstrom-
Rechner</t>
  </si>
  <si>
    <t>Das vorliegenden Programm benötigt mindestens Microsoft Excel 2003 als Basis-Software.</t>
  </si>
  <si>
    <r>
      <t>Hilfestellungen bei der Investitionsentscheidung "Photovoltaikanlage"</t>
    </r>
    <r>
      <rPr>
        <sz val="10"/>
        <rFont val="Arial"/>
        <family val="0"/>
      </rPr>
      <t xml:space="preserve"> geben.</t>
    </r>
  </si>
  <si>
    <t xml:space="preserve">   Wird PV-Strom teilweise selbst verbraucht entstehen dafür Kosten. Diese werden</t>
  </si>
  <si>
    <t xml:space="preserve">  in €/kWh Eigenstromverbrauch ausgewiesen.</t>
  </si>
  <si>
    <t xml:space="preserve">   Verteilt man die gesamten durchschnittlichen Jahreskosten auf den durchschnittlichen</t>
  </si>
  <si>
    <r>
      <t xml:space="preserve">   Errechnet wird der durchschnittliche jährlichliche Vorteil der Eigenstromnutzung</t>
    </r>
    <r>
      <rPr>
        <b/>
        <sz val="10"/>
        <rFont val="Arial"/>
        <family val="2"/>
      </rPr>
      <t xml:space="preserve"> </t>
    </r>
    <r>
      <rPr>
        <b/>
        <sz val="10"/>
        <color indexed="12"/>
        <rFont val="Arial"/>
        <family val="2"/>
      </rPr>
      <t xml:space="preserve"> </t>
    </r>
  </si>
  <si>
    <t xml:space="preserve">   gegenüber dem Strombezug aus dem öffentlichen Netz.</t>
  </si>
  <si>
    <t xml:space="preserve"> - Ø Kosten des Eigenstromverbrauchs bei einem definierten Eigenstromanteil</t>
  </si>
  <si>
    <t xml:space="preserve"> - Ø Vollkosten des PV-Stroms</t>
  </si>
  <si>
    <t xml:space="preserve"> - Ø Vorteil der Eigenstromnutzung gegenüber dem Strombezug</t>
  </si>
  <si>
    <t xml:space="preserve">   Jahresertrag der Anlage erhält man die Vollkosten einer Kilowattstunde.</t>
  </si>
  <si>
    <r>
      <t xml:space="preserve"> -</t>
    </r>
    <r>
      <rPr>
        <b/>
        <i/>
        <sz val="10"/>
        <color indexed="57"/>
        <rFont val="Arial"/>
        <family val="2"/>
      </rPr>
      <t>Größe in kWp</t>
    </r>
    <r>
      <rPr>
        <sz val="10"/>
        <rFont val="Arial"/>
        <family val="0"/>
      </rPr>
      <t xml:space="preserve">: Erfassung in kWp (Kilowatt peak; entspricht  ca. der maximalen </t>
    </r>
  </si>
  <si>
    <r>
      <t xml:space="preserve"> -</t>
    </r>
    <r>
      <rPr>
        <b/>
        <i/>
        <sz val="10"/>
        <color indexed="57"/>
        <rFont val="Arial"/>
        <family val="2"/>
      </rPr>
      <t>Art der Anlage</t>
    </r>
    <r>
      <rPr>
        <sz val="10"/>
        <rFont val="Arial"/>
        <family val="0"/>
      </rPr>
      <t>: Dach- oder Freilandanlage laut EEG</t>
    </r>
  </si>
  <si>
    <t xml:space="preserve">  Die Einspeisevergütungen nach EEG sind für Dach- Bzw. Freilandanlagen unterschiedlich.</t>
  </si>
  <si>
    <t>(Voreinstellung: Dachanlage)</t>
  </si>
  <si>
    <r>
      <t xml:space="preserve"> -</t>
    </r>
    <r>
      <rPr>
        <b/>
        <i/>
        <sz val="10"/>
        <color indexed="57"/>
        <rFont val="Arial"/>
        <family val="2"/>
      </rPr>
      <t>Standort</t>
    </r>
    <r>
      <rPr>
        <sz val="10"/>
        <rFont val="Arial"/>
        <family val="0"/>
      </rPr>
      <t>: Die durchschnittliche monatlich Einstrahlung während des Jahresverlaufs variiert</t>
    </r>
  </si>
  <si>
    <t xml:space="preserve">  in Abhängigkeit des Standorts. Die Erfassung des Standorts hat lediglich Einfluss auf die</t>
  </si>
  <si>
    <t xml:space="preserve">  Grafik "Solarertrag". In der Kalkulation werden die Werte nicht verrechnet.</t>
  </si>
  <si>
    <r>
      <t xml:space="preserve"> -</t>
    </r>
    <r>
      <rPr>
        <b/>
        <i/>
        <sz val="10"/>
        <color indexed="57"/>
        <rFont val="Arial"/>
        <family val="2"/>
      </rPr>
      <t>Inbetriebnahme - Monat:</t>
    </r>
    <r>
      <rPr>
        <sz val="10"/>
        <rFont val="Arial"/>
        <family val="0"/>
      </rPr>
      <t xml:space="preserve">  Der Inbetriebnahme-Monat  bestimmt die Höhe der Einspeise-</t>
    </r>
  </si>
  <si>
    <t>Solarertrag (Prognose):</t>
  </si>
  <si>
    <t xml:space="preserve">  vergütungen nach EEG für den Stromverkauf.</t>
  </si>
  <si>
    <r>
      <t xml:space="preserve"> -</t>
    </r>
    <r>
      <rPr>
        <b/>
        <i/>
        <sz val="10"/>
        <color indexed="57"/>
        <rFont val="Arial"/>
        <family val="2"/>
      </rPr>
      <t>Ertrag im 1. Jahr:</t>
    </r>
    <r>
      <rPr>
        <sz val="10"/>
        <rFont val="Arial"/>
        <family val="0"/>
      </rPr>
      <t xml:space="preserve"> Der Solarertrag wird erfasst in kWh/kWp pro Jahr. Hilfestellung bei der </t>
    </r>
  </si>
  <si>
    <t xml:space="preserve">  Schätzung des Ertragspotenitals ihrer Anlage finden Sie in verschiedenen Internetportalen, in </t>
  </si>
  <si>
    <r>
      <t xml:space="preserve">  Förderverein Deutschland e.V. (SFV); </t>
    </r>
    <r>
      <rPr>
        <u val="single"/>
        <sz val="10"/>
        <color indexed="12"/>
        <rFont val="Arial"/>
        <family val="2"/>
      </rPr>
      <t>www.pv-ertraege.de</t>
    </r>
    <r>
      <rPr>
        <sz val="10"/>
        <rFont val="Arial"/>
        <family val="2"/>
      </rPr>
      <t xml:space="preserve"> ). Darüber hinaus bietet z.B. der</t>
    </r>
  </si>
  <si>
    <t xml:space="preserve">  Deutsche Wetterdienst (www.dwd.de) Solargutachten an, mit welchen Sie zu einem über-</t>
  </si>
  <si>
    <t xml:space="preserve">  schaubaren Betrag eine Einschätzung des Ertragspotentials an ihrem Standort erhalten.</t>
  </si>
  <si>
    <r>
      <t xml:space="preserve"> -</t>
    </r>
    <r>
      <rPr>
        <b/>
        <i/>
        <sz val="10"/>
        <color indexed="57"/>
        <rFont val="Arial"/>
        <family val="2"/>
      </rPr>
      <t>Laufzeit der Anlage:</t>
    </r>
    <r>
      <rPr>
        <sz val="10"/>
        <rFont val="Arial"/>
        <family val="0"/>
      </rPr>
      <t xml:space="preserve"> Bei guter Technik und solider Installation ist aus heutiger Sicht eine </t>
    </r>
  </si>
  <si>
    <t>(Voreinstellung: 20 Jahre = EEG-Laufzeit)</t>
  </si>
  <si>
    <t>Herstellungskosten:</t>
  </si>
  <si>
    <t xml:space="preserve">  Bei hinreichend differenzierter Erfassung der Kosten lassen sich für die einzelnen Komponenten</t>
  </si>
  <si>
    <t xml:space="preserve">  unterschiedliche Laufzeiten (Abschreibungszeiträume) festlegen, wodurch die Berechnung an</t>
  </si>
  <si>
    <t>Jahreskosten:</t>
  </si>
  <si>
    <r>
      <t xml:space="preserve"> -</t>
    </r>
    <r>
      <rPr>
        <b/>
        <i/>
        <sz val="10"/>
        <color indexed="57"/>
        <rFont val="Arial"/>
        <family val="2"/>
      </rPr>
      <t>Kapitalgebundene Kosten:</t>
    </r>
    <r>
      <rPr>
        <sz val="10"/>
        <rFont val="Arial"/>
        <family val="0"/>
      </rPr>
      <t xml:space="preserve"> Sie bestehen aus den Abschreibungsbeträgen der Komponenten</t>
    </r>
  </si>
  <si>
    <t xml:space="preserve">  sowie der Kapitalverzinsung ("kalkulatorische Entlohnung des eingesetzten Kapitals").</t>
  </si>
  <si>
    <t xml:space="preserve">  Die Verzinsung in der vorliegenden Kalkulation erfolgt nach der Annuitätenmethode. </t>
  </si>
  <si>
    <t xml:space="preserve">  Der Zinssatz ist grundsätzlich frei wählbar. </t>
  </si>
  <si>
    <t>(Voreinstellung: 5,0% Zinsansatz; Verzinsung des Kapitals)</t>
  </si>
  <si>
    <t xml:space="preserve">  Hierunter fallen z.B. Wartung/Instandhaltung, Zählermiete an den Messstellenbetreiber, etc.</t>
  </si>
  <si>
    <t xml:space="preserve">  Sollten regelmäßig Arbeitskosten für die PV-Anlage anfallen können diese ebenfalls hier </t>
  </si>
  <si>
    <t xml:space="preserve">  erfasst werden.</t>
  </si>
  <si>
    <r>
      <t xml:space="preserve"> -</t>
    </r>
    <r>
      <rPr>
        <b/>
        <i/>
        <sz val="10"/>
        <color indexed="57"/>
        <rFont val="Arial"/>
        <family val="2"/>
      </rPr>
      <t>Sonstige Kosten:</t>
    </r>
    <r>
      <rPr>
        <sz val="10"/>
        <rFont val="Arial"/>
        <family val="0"/>
      </rPr>
      <t xml:space="preserve"> Z.B. Versicherung, Aufwendungen für Steuerberatung sowie Erstellung von</t>
    </r>
  </si>
  <si>
    <t xml:space="preserve">  Steuererklärungen, etc.</t>
  </si>
  <si>
    <r>
      <t xml:space="preserve"> -</t>
    </r>
    <r>
      <rPr>
        <b/>
        <i/>
        <sz val="10"/>
        <color indexed="57"/>
        <rFont val="Arial"/>
        <family val="2"/>
      </rPr>
      <t>Stromverwendung:</t>
    </r>
    <r>
      <rPr>
        <sz val="10"/>
        <rFont val="Arial"/>
        <family val="0"/>
      </rPr>
      <t xml:space="preserve"> Bisherige Erfahrungen zeigen, dass bei entsprechender Dimensionierung </t>
    </r>
  </si>
  <si>
    <r>
      <t xml:space="preserve"> -</t>
    </r>
    <r>
      <rPr>
        <b/>
        <i/>
        <sz val="10"/>
        <color indexed="57"/>
        <rFont val="Arial"/>
        <family val="2"/>
      </rPr>
      <t>Kosten der Eigenstromnutzung:</t>
    </r>
    <r>
      <rPr>
        <sz val="10"/>
        <rFont val="Arial"/>
        <family val="0"/>
      </rPr>
      <t xml:space="preserve"> </t>
    </r>
  </si>
  <si>
    <t xml:space="preserve">  Die Kosten der Eigenstromnutzung werden nach folgender Rechenlogik ermittelt:</t>
  </si>
  <si>
    <t>ø Jahreskosten der Anlage</t>
  </si>
  <si>
    <t>- ø Erlöse aus Stromverkauf / Netzeinspeisung</t>
  </si>
  <si>
    <t>- ø Erlöse Stromeigenverbrauchsbonus</t>
  </si>
  <si>
    <t>= ø Kosten des Eigenstromverbrauchs</t>
  </si>
  <si>
    <t>ø Jahreskosten</t>
  </si>
  <si>
    <t>ø Erlöse</t>
  </si>
  <si>
    <t xml:space="preserve">- ø Erlöse </t>
  </si>
  <si>
    <t xml:space="preserve">     </t>
  </si>
  <si>
    <t>(Einspeisevergütungen, ggf. Verkaufserlöse für Stromverkauf ab 21. Jahr,</t>
  </si>
  <si>
    <t xml:space="preserve"> ggf. Stromeigenverbrauchsbouns bei Anlagen mit Inbetriebnahme vor 04/2012)</t>
  </si>
  <si>
    <t>= ø Kosten des Eigenstroms in € / kWh</t>
  </si>
  <si>
    <t xml:space="preserve">    / Eigenstromverbrauch in kWh / Jahr</t>
  </si>
  <si>
    <t xml:space="preserve">  umgelegt ergeben sich daraus die Vollkosten der PV-Stromerzeugung. Diese Fall entspricht </t>
  </si>
  <si>
    <t xml:space="preserve">  in der Praxis einer 100% Eigenstromnutzung.</t>
  </si>
  <si>
    <t xml:space="preserve">  Werden die gesamten ø-Jahreskosten der Anlage auf den gesamten ø-Solarertrag pro Jahr</t>
  </si>
  <si>
    <r>
      <t xml:space="preserve"> -</t>
    </r>
    <r>
      <rPr>
        <b/>
        <i/>
        <sz val="10"/>
        <color indexed="57"/>
        <rFont val="Arial"/>
        <family val="2"/>
      </rPr>
      <t>Vorteil der Eigenstromnutzung:</t>
    </r>
    <r>
      <rPr>
        <b/>
        <sz val="10"/>
        <rFont val="Arial"/>
        <family val="2"/>
      </rPr>
      <t xml:space="preserve"> </t>
    </r>
    <r>
      <rPr>
        <sz val="10"/>
        <rFont val="Arial"/>
        <family val="2"/>
      </rPr>
      <t>Durch Gegenüberstellung der Kosten für PV-Eigenstrom mit</t>
    </r>
  </si>
  <si>
    <t xml:space="preserve">  gegenüber dem Strombezug ermitteln.</t>
  </si>
  <si>
    <r>
      <t xml:space="preserve"> -</t>
    </r>
    <r>
      <rPr>
        <b/>
        <i/>
        <sz val="10"/>
        <color indexed="57"/>
        <rFont val="Arial"/>
        <family val="2"/>
      </rPr>
      <t>Inflationsrate Strompreis:</t>
    </r>
  </si>
  <si>
    <t xml:space="preserve">  Voreingestellt ist eine (moderate) Inflationsrate von 1%. Die Einstellung der Inflationsrate</t>
  </si>
  <si>
    <t xml:space="preserve">  Prognose (Einstellung) von Nöten.</t>
  </si>
  <si>
    <t>(Voreinstellungen: 1,0 % Inflationsrate)</t>
  </si>
  <si>
    <t xml:space="preserve">  haben wir auf 5,0% begrenzt. Insbesondere an diesem Punkt ist ein verantwortungsvolle </t>
  </si>
  <si>
    <t>Aufgrund der gewählten Methode werden in den Ergebnissen entsprechend keine Exaktwerte</t>
  </si>
  <si>
    <t>sondern durchschnittliche Werte (Orientierungswerte) ausgewiesen !</t>
  </si>
  <si>
    <t>Daher unsere Bitte: Verwenden Sie Expertenwissen und Erfahrungswerte, um möglichst zuver-</t>
  </si>
  <si>
    <t>lässige Aussagen / Ergebnisse zu erhalten.</t>
  </si>
  <si>
    <t>Achtung: Ergebnisse sind immer nur so gut wie die Prognosen, auf welchen sie stehen !!</t>
  </si>
  <si>
    <t>copyright: Werner Schmid</t>
  </si>
  <si>
    <t>Zur Beurteilung der Wirtschaftlichkeit sowie des Liquiditätsverlaufs einer Investition in eine</t>
  </si>
  <si>
    <t>unter nachfolgender Adresse zum kostenlosen Download zur Verfügung.</t>
  </si>
  <si>
    <t>Datenerfassung und Ergebnisse:</t>
  </si>
  <si>
    <t>eigene Werte</t>
  </si>
  <si>
    <t>= ø Kosten des Eigenstromverbrauchs gesamt</t>
  </si>
  <si>
    <t>Verfallsdatum:</t>
  </si>
  <si>
    <r>
      <t xml:space="preserve">Vorbemerkung: </t>
    </r>
    <r>
      <rPr>
        <sz val="10"/>
        <rFont val="Arial"/>
        <family val="2"/>
      </rPr>
      <t>Bei der vorliegenden Kalkulation werden durchschnittliche Jahreskosten mit</t>
    </r>
  </si>
  <si>
    <t>durchschnittlichen Sonnenstrom-Erträgen verrechnet.</t>
  </si>
  <si>
    <t xml:space="preserve">  in welchen Solarerträge aus verschiedenen Regionen veröffentlicht werden (z.B.: Solarenergie-</t>
  </si>
  <si>
    <t xml:space="preserve">  mit Dünnschichtmodulen können die Werte zur Alterung je nach Technologie etwas höher liegen. </t>
  </si>
  <si>
    <t xml:space="preserve">  dass PV-Anlagen auch Laufzeiten von 25 Jahren und länger erreichen können. Lediglich die </t>
  </si>
  <si>
    <t xml:space="preserve">  Alterung unterliegen.</t>
  </si>
  <si>
    <t xml:space="preserve">  Wechselrichter weisen kürzere Laufzeiten auf, da Sie mit der Leistungselektronik einer spürbaren </t>
  </si>
  <si>
    <t xml:space="preserve">  Mindestlaufzeit von 20 Jahren i.d.R. kein Problem. Experten im Markt gehen sogar davon aus,  </t>
  </si>
  <si>
    <r>
      <t xml:space="preserve"> -</t>
    </r>
    <r>
      <rPr>
        <b/>
        <i/>
        <sz val="10"/>
        <color indexed="57"/>
        <rFont val="Arial"/>
        <family val="2"/>
      </rPr>
      <t>Herstellungskosten:</t>
    </r>
    <r>
      <rPr>
        <sz val="10"/>
        <rFont val="Arial"/>
        <family val="0"/>
      </rPr>
      <t xml:space="preserve"> Bei den Herstellungskosten wird unterschieden zwischen denen für die</t>
    </r>
  </si>
  <si>
    <t xml:space="preserve">  PV-Anlage und den Sonstigen (z.B. für Batterie-Speicher- oder andere Speichersysteme, etc.)</t>
  </si>
  <si>
    <t xml:space="preserve">  Genauigkeit gewinnen kann.</t>
  </si>
  <si>
    <t xml:space="preserve">  Derzeit ist im Programm 5% voreingestellt - aus folgendem Grund: Im Juli 2012 lässt sich eine</t>
  </si>
  <si>
    <t xml:space="preserve">  PV-Anlage zu rund 3% (Zinsen) finanzieren. Für Unternehmerrisiko und -gewinn wurde eine Auf-</t>
  </si>
  <si>
    <t xml:space="preserve">  schlag von 2% hinzu gerechnet. Selbstverständlich kann der Kalkulationszinssatz jeweils nach den</t>
  </si>
  <si>
    <t xml:space="preserve">  eigenen Ansprüchen und Überlegungen verändert und eingestellt werden.</t>
  </si>
  <si>
    <r>
      <t xml:space="preserve"> -</t>
    </r>
    <r>
      <rPr>
        <b/>
        <i/>
        <sz val="10"/>
        <color indexed="57"/>
        <rFont val="Arial"/>
        <family val="2"/>
      </rPr>
      <t>Verbrauchsgebundene Kosten:</t>
    </r>
    <r>
      <rPr>
        <sz val="10"/>
        <rFont val="Arial"/>
        <family val="0"/>
      </rPr>
      <t xml:space="preserve"> Fallen bei PV-Anlagen i.d.Regel nicht an.</t>
    </r>
  </si>
  <si>
    <t xml:space="preserve">  Typische Beispiele für diese Pos. wären: Brennstoffkosten bei Heizungen = verbrauchsgebunden</t>
  </si>
  <si>
    <r>
      <t xml:space="preserve"> -</t>
    </r>
    <r>
      <rPr>
        <b/>
        <i/>
        <sz val="10"/>
        <color indexed="57"/>
        <rFont val="Arial"/>
        <family val="2"/>
      </rPr>
      <t>Betriebsgebundene Kosten:</t>
    </r>
  </si>
  <si>
    <t>Stromverwendung (Stromverkauf / Eigenstromverbrauch)</t>
  </si>
  <si>
    <r>
      <t xml:space="preserve">  der PV-Anlage (Jahres-Solarertrag der Anlage  </t>
    </r>
    <r>
      <rPr>
        <sz val="10"/>
        <rFont val="Symbol"/>
        <family val="1"/>
      </rPr>
      <t>@</t>
    </r>
    <r>
      <rPr>
        <sz val="10"/>
        <rFont val="Arial"/>
        <family val="2"/>
      </rPr>
      <t xml:space="preserve"> Jahresstromverbrauch des Haushalts) ohne</t>
    </r>
  </si>
  <si>
    <t xml:space="preserve">  große Umstellung des Stromverbrauchsverhaltens ca. 25-35% des erzeugten Stroms als Eigen-</t>
  </si>
  <si>
    <t xml:space="preserve">  strom verwendet werden kann. Bei größeren PV-Anlagen sinkt die Rate, bei kleineren Anlagen </t>
  </si>
  <si>
    <t xml:space="preserve">  kann sie höher ausfallen. Mit Strommanagement, d.h. gezielter Lastverschiebung in die Tages-</t>
  </si>
  <si>
    <t xml:space="preserve">  phase und ggf. Einsatz von Last-Managementsystemen kann nach bisherigen Erfahrungen </t>
  </si>
  <si>
    <t xml:space="preserve">  der Eigenverbrauchsanteil um 10-20% gesteigert werden. Zum Thema Strom-Speichersysteme </t>
  </si>
  <si>
    <t xml:space="preserve">  liegen uns derzeit noch keine belastbaren Aussagen vor.</t>
  </si>
  <si>
    <r>
      <t xml:space="preserve"> -</t>
    </r>
    <r>
      <rPr>
        <b/>
        <i/>
        <sz val="10"/>
        <color indexed="57"/>
        <rFont val="Arial"/>
        <family val="2"/>
      </rPr>
      <t>Vollkosten des PV-Stroms</t>
    </r>
    <r>
      <rPr>
        <b/>
        <i/>
        <sz val="10"/>
        <color indexed="57"/>
        <rFont val="Arial"/>
        <family val="2"/>
      </rPr>
      <t>:</t>
    </r>
    <r>
      <rPr>
        <sz val="10"/>
        <rFont val="Arial"/>
        <family val="0"/>
      </rPr>
      <t xml:space="preserve"> </t>
    </r>
  </si>
  <si>
    <t>Vorteil / Nachteil  der Eigenstromnutzung</t>
  </si>
  <si>
    <t xml:space="preserve">  dem Preis für Strombezug lässt sich rechnerisch ein ø-Vorteil / Nachteil der Eigenstromnutzung</t>
  </si>
  <si>
    <t>Stromverkauf / Netzeinspeisung</t>
  </si>
  <si>
    <t>Kosten des Eigenstromverbrauchs ( je kWh )</t>
  </si>
  <si>
    <t>VORTEIL der Eigenstromnutzung (ø)</t>
  </si>
  <si>
    <t>Februar  2013</t>
  </si>
  <si>
    <t>Mai  2013</t>
  </si>
  <si>
    <t>August  2013</t>
  </si>
  <si>
    <t xml:space="preserve"> Kategorie: Nachhaltige Unternehmensentwicklung / Erneuerbare Energien / ...</t>
  </si>
  <si>
    <t>November 2013</t>
  </si>
  <si>
    <t>Februar  2014</t>
  </si>
  <si>
    <t>Mai  2014</t>
  </si>
  <si>
    <t>31. Juli 2014; Vers. 2.1</t>
  </si>
  <si>
    <r>
      <t xml:space="preserve">PV-Anlage steht zusätzlich der </t>
    </r>
    <r>
      <rPr>
        <b/>
        <sz val="12"/>
        <color indexed="12"/>
        <rFont val="Comic Sans MS"/>
        <family val="4"/>
      </rPr>
      <t>Photovoltaik-Rechner Vers. 7.0.1</t>
    </r>
  </si>
  <si>
    <t>NEU:  EEG 2014</t>
  </si>
  <si>
    <t>EEG 2014 ab 01.08.2014</t>
  </si>
  <si>
    <t>Das EEG 2014 bringt auch der Photovoltaik einen grundlegenden Systemwechsel !</t>
  </si>
  <si>
    <r>
      <t xml:space="preserve">Prinzipiell werden künftig Anlagen zur Erzeugung regenerativen Stroms nach dem </t>
    </r>
    <r>
      <rPr>
        <u val="single"/>
        <sz val="10"/>
        <color indexed="10"/>
        <rFont val="Arial"/>
        <family val="2"/>
      </rPr>
      <t>Marktprämienmodell</t>
    </r>
  </si>
  <si>
    <t xml:space="preserve">gefördert. In der Photovoltaik gibt es jedoch für "kleine Anlagen" eine Ausnahmeregelung, die den </t>
  </si>
  <si>
    <t>Betrieb dieser "kleinen Anlagen" in altgewohnter Weise ermöglicht. "Kleine Anlagen" haben auch künftig</t>
  </si>
  <si>
    <t>Anspruch auf eine "feste Einspeisevergütung". Allerdings wird künftig für eigen verbrauchten Strom</t>
  </si>
  <si>
    <t xml:space="preserve">eine anteilige EEG-Umlage fällig.  </t>
  </si>
  <si>
    <t>WICHTIG  -  bitte beachten:</t>
  </si>
  <si>
    <t>Mit dem Programm können derzeit nur "kleine Anlagen" mit Anspruch auf "feste Einspeisevergütung"</t>
  </si>
  <si>
    <t>(und ggf. Eigenstromverbrauch) gerechnet werden.</t>
  </si>
  <si>
    <t>Anlagen nach dem Marktprämienmodell können derzeit mit dem PV-Rechner nicht berechnet werden.</t>
  </si>
  <si>
    <t>August  2014</t>
  </si>
  <si>
    <t>Vergütungssätze (feste Einspeisevergütung) für Stromverkauf</t>
  </si>
  <si>
    <t>* feste Einspeisevergütung nach EEG 2014; ermittelt aus: "anzulegender Wert" (§51, EEG 2014) - "Abzugsbetrag" (§37, EEG 2014)</t>
  </si>
  <si>
    <t>Kosten
Eigen-
strom-
ver-
brauch</t>
  </si>
  <si>
    <t>EEG-Umlage Eigenstrom</t>
  </si>
  <si>
    <r>
      <t>EEG-
Umlage</t>
    </r>
    <r>
      <rPr>
        <sz val="8"/>
        <rFont val="Arial"/>
        <family val="2"/>
      </rPr>
      <t xml:space="preserve">
ab 01.08.
2014;
EEG 2014)</t>
    </r>
  </si>
  <si>
    <t>Bestandsanlage vor 01.08.2014 (ja = 1; nein = 2)</t>
  </si>
  <si>
    <t>Anlage bis max. 10 kWp (Bagatellgrenze) (ja = 1; nein = 2)</t>
  </si>
  <si>
    <t>Dauer (Monate) bis 31.12.2015</t>
  </si>
  <si>
    <t>Dauer vom 1.1. bis 31.12.16</t>
  </si>
  <si>
    <t>Anlagenlaufzeit (Monate)</t>
  </si>
  <si>
    <t>Dauer nach 01.01.2017</t>
  </si>
  <si>
    <t>EEG-Umlage für den Eigenstromverbrauch (EEG 2014; ab 01.08.2014)</t>
  </si>
  <si>
    <t>EEG-Umlage (Schätzwert)</t>
  </si>
  <si>
    <t>durchschnittliche Höhe der anteiligen EEG-Umlage:</t>
  </si>
  <si>
    <t>Kosten des Eigenstromverbrauchs je kWh</t>
  </si>
  <si>
    <t>Zuschlag</t>
  </si>
  <si>
    <t>EEG-Umlage</t>
  </si>
  <si>
    <r>
      <rPr>
        <b/>
        <sz val="11"/>
        <color indexed="10"/>
        <rFont val="Arial"/>
        <family val="2"/>
      </rPr>
      <t>Befreiung</t>
    </r>
    <r>
      <rPr>
        <sz val="10"/>
        <rFont val="Arial"/>
        <family val="0"/>
      </rPr>
      <t xml:space="preserve"> von der EEG-Umlage bei </t>
    </r>
    <r>
      <rPr>
        <b/>
        <sz val="11"/>
        <color indexed="10"/>
        <rFont val="Arial"/>
        <family val="2"/>
      </rPr>
      <t>Bestandsanlagen</t>
    </r>
    <r>
      <rPr>
        <sz val="10"/>
        <rFont val="Arial"/>
        <family val="0"/>
      </rPr>
      <t xml:space="preserve"> mit Inbetriebnahme von 1.08.2014</t>
    </r>
  </si>
  <si>
    <t>§ 61 Abs.3</t>
  </si>
  <si>
    <r>
      <rPr>
        <b/>
        <sz val="11"/>
        <color indexed="10"/>
        <rFont val="Arial"/>
        <family val="2"/>
      </rPr>
      <t>Befreiung</t>
    </r>
    <r>
      <rPr>
        <sz val="10"/>
        <rFont val="Arial"/>
        <family val="0"/>
      </rPr>
      <t xml:space="preserve"> von der EEG-Umlage bei Anlagen </t>
    </r>
    <r>
      <rPr>
        <b/>
        <sz val="11"/>
        <color indexed="10"/>
        <rFont val="Arial"/>
        <family val="2"/>
      </rPr>
      <t>bis 10 kWp</t>
    </r>
    <r>
      <rPr>
        <sz val="10"/>
        <rFont val="Arial"/>
        <family val="0"/>
      </rPr>
      <t>; max. 10.000 kWh</t>
    </r>
  </si>
  <si>
    <t>§ 61 Abs.2 Ziff. 4</t>
  </si>
  <si>
    <t>40% EEG-Umlage ab 1.01.2017</t>
  </si>
  <si>
    <t>§ 61 Abs.1 Ziff.3</t>
  </si>
  <si>
    <t>35% EEG-Umlage von 1.01.2016 bis 31.12.2016</t>
  </si>
  <si>
    <t>§ 61 Abs.1 Ziff.2</t>
  </si>
  <si>
    <t>30% EEG-Umlage von 1.07.2014 bis 31.12.2015</t>
  </si>
  <si>
    <t>§ 61 Abs.1 Ziff.1</t>
  </si>
  <si>
    <t>EEG-Umlage für Letztverbraucher und Eigenversorger kann verlangt werden</t>
  </si>
  <si>
    <t>§ 61 Abs.1</t>
  </si>
  <si>
    <t>Außenbereichsregelung</t>
  </si>
  <si>
    <t>§ 51 Abs.3</t>
  </si>
  <si>
    <t>Cent/kWh</t>
  </si>
  <si>
    <t>bis einschließlich 10.000 kWp</t>
  </si>
  <si>
    <t>Rundung</t>
  </si>
  <si>
    <t>bis einschließlich 1.000 kWp</t>
  </si>
  <si>
    <t>ab 01.07.2014</t>
  </si>
  <si>
    <t>bis einschließlich 40 kWp</t>
  </si>
  <si>
    <t>Degression</t>
  </si>
  <si>
    <t>bis einschließlich 10 kWp</t>
  </si>
  <si>
    <t xml:space="preserve">In, an und auf Gebäuden: </t>
  </si>
  <si>
    <t>§ 51 Abs.2</t>
  </si>
  <si>
    <t>ab 01.06.2014</t>
  </si>
  <si>
    <t>Anzulegender Wert bis 10 MW</t>
  </si>
  <si>
    <t>§ 51 Abs.1</t>
  </si>
  <si>
    <t>0,4 Cent/Kilowattstunde</t>
  </si>
  <si>
    <t>Abzugsbetrag =</t>
  </si>
  <si>
    <t>ab 01.05.2014</t>
  </si>
  <si>
    <t xml:space="preserve">Abzugsbetrag von den anzulegenden Werten nach § 51 (Solare Strahlungsenergie) </t>
  </si>
  <si>
    <t>§ 37 Abs.3 Ziff. 2</t>
  </si>
  <si>
    <t>nach 31.12.2015</t>
  </si>
  <si>
    <t xml:space="preserve">bis höchsten 100 kW </t>
  </si>
  <si>
    <t>vor 01.01.2016</t>
  </si>
  <si>
    <t xml:space="preserve">bis höchsten 500 kW </t>
  </si>
  <si>
    <t xml:space="preserve">"kleine Anlagen" = </t>
  </si>
  <si>
    <t>§ 37 Abs.2</t>
  </si>
  <si>
    <t>Anspruch auf Einspeisevergütung für "kleine Anlagen"</t>
  </si>
  <si>
    <t>§ 37 Abs.1</t>
  </si>
  <si>
    <t>ab 01.04.2014</t>
  </si>
  <si>
    <r>
      <t xml:space="preserve">Max. Zubaugrenze - </t>
    </r>
    <r>
      <rPr>
        <b/>
        <sz val="11"/>
        <color indexed="10"/>
        <rFont val="Arial"/>
        <family val="2"/>
      </rPr>
      <t>52.000 MW</t>
    </r>
  </si>
  <si>
    <t>§ 31 Abs.6</t>
  </si>
  <si>
    <t>Bezugszeitraum - 1 Jahr (13. Monat vorher bis 1 Monat vorher)</t>
  </si>
  <si>
    <t>§ 31 Abs.5</t>
  </si>
  <si>
    <t>ab 01.03.2014</t>
  </si>
  <si>
    <t>(einmalig zu Quartalsbeginn)</t>
  </si>
  <si>
    <t>um mehr als - 1400 MW</t>
  </si>
  <si>
    <t>um mehr als - 900 MW</t>
  </si>
  <si>
    <t>um bis - 900 MW</t>
  </si>
  <si>
    <t>ab 01.02.2014</t>
  </si>
  <si>
    <t>Absenkung der Degression bei Abweichen vom Zubaukorridor auf:</t>
  </si>
  <si>
    <t>§ 31 Abs.4</t>
  </si>
  <si>
    <t>um mehr als + 4900 MW</t>
  </si>
  <si>
    <t>um mehr als + 3900 MW</t>
  </si>
  <si>
    <t>um mehr als + 2900 MW</t>
  </si>
  <si>
    <t>ab 01.01.2014</t>
  </si>
  <si>
    <t>um mehr als + 1900 MW</t>
  </si>
  <si>
    <t>um mehr als + 900 MW</t>
  </si>
  <si>
    <t>um bis + 900 MW</t>
  </si>
  <si>
    <t>ab 01.12.2013</t>
  </si>
  <si>
    <t>Erhöhung der Degression bei Abweichen vom Zubaukorridor auf:</t>
  </si>
  <si>
    <t>§ 31 Abs.3</t>
  </si>
  <si>
    <t>Anpassung alle 3 Monate zum 1.1.; 1.4.; 1.7.; 1.10</t>
  </si>
  <si>
    <r>
      <t xml:space="preserve">monatliche Degression = </t>
    </r>
    <r>
      <rPr>
        <b/>
        <sz val="11"/>
        <color indexed="10"/>
        <rFont val="Arial"/>
        <family val="2"/>
      </rPr>
      <t>0,5%</t>
    </r>
    <r>
      <rPr>
        <sz val="10"/>
        <rFont val="Arial"/>
        <family val="0"/>
      </rPr>
      <t>;</t>
    </r>
    <r>
      <rPr>
        <b/>
        <sz val="11"/>
        <color indexed="10"/>
        <rFont val="Arial"/>
        <family val="2"/>
      </rPr>
      <t xml:space="preserve"> Beginn ab 1. September 2014</t>
    </r>
  </si>
  <si>
    <t>§ 31 Abs.2</t>
  </si>
  <si>
    <t>ab 01.11.2013</t>
  </si>
  <si>
    <r>
      <t xml:space="preserve">Zielkorridor = </t>
    </r>
    <r>
      <rPr>
        <b/>
        <sz val="11"/>
        <color indexed="10"/>
        <rFont val="Arial"/>
        <family val="2"/>
      </rPr>
      <t>2.400 bis 2.600 MW</t>
    </r>
  </si>
  <si>
    <t>§ 31 Abs.1</t>
  </si>
  <si>
    <t>Verhältnis zu dem jeweils anzulegenden Schwellenwert</t>
  </si>
  <si>
    <r>
      <t xml:space="preserve">Berechnung der Förderung - </t>
    </r>
    <r>
      <rPr>
        <b/>
        <sz val="11"/>
        <color indexed="10"/>
        <rFont val="Arial"/>
        <family val="2"/>
      </rPr>
      <t>anteilig nach der installierten Leistung der Anlage im</t>
    </r>
  </si>
  <si>
    <t>§ 23 Abs. 2 Ziff. 1</t>
  </si>
  <si>
    <t>ab 01.10.2013</t>
  </si>
  <si>
    <r>
      <t xml:space="preserve">Förderbeginn und -dauer: </t>
    </r>
    <r>
      <rPr>
        <b/>
        <sz val="11"/>
        <color indexed="10"/>
        <rFont val="Arial"/>
        <family val="2"/>
      </rPr>
      <t>20 Jahre + Inbetriebnahmejahr</t>
    </r>
  </si>
  <si>
    <t>§ 22</t>
  </si>
  <si>
    <t>ab 01.09.2013</t>
  </si>
  <si>
    <r>
      <t xml:space="preserve">Förderanspruch für Strom - </t>
    </r>
    <r>
      <rPr>
        <b/>
        <sz val="11"/>
        <color indexed="10"/>
        <rFont val="Arial"/>
        <family val="2"/>
      </rPr>
      <t>Anspruch auf Einspeisevergütung nach § 37</t>
    </r>
    <r>
      <rPr>
        <sz val="10"/>
        <rFont val="Arial"/>
        <family val="0"/>
      </rPr>
      <t xml:space="preserve"> (und § 38)</t>
    </r>
  </si>
  <si>
    <t>§ 19 Abs. 1 Ziff.2:</t>
  </si>
  <si>
    <t>Die Liste erhebt keine Anspruch auf Vollständigkeit. Eigene Recherchen im EEG 2014 sind zwingend anzuraten.</t>
  </si>
  <si>
    <t>ab 01.08.2013</t>
  </si>
  <si>
    <t>Wichtige Regelungen des EEG 2014 für Photovoltaik im Überblick</t>
  </si>
  <si>
    <t>mit Inbetriebnahme von 1.08.2014</t>
  </si>
  <si>
    <r>
      <rPr>
        <b/>
        <sz val="11"/>
        <color indexed="10"/>
        <rFont val="Arial"/>
        <family val="2"/>
      </rPr>
      <t>Befreiung</t>
    </r>
    <r>
      <rPr>
        <sz val="11"/>
        <rFont val="Arial"/>
        <family val="2"/>
      </rPr>
      <t xml:space="preserve"> von der EEG-Umlage bei </t>
    </r>
    <r>
      <rPr>
        <b/>
        <sz val="11"/>
        <color indexed="10"/>
        <rFont val="Arial"/>
        <family val="2"/>
      </rPr>
      <t>Bestandsanlagen</t>
    </r>
    <r>
      <rPr>
        <sz val="11"/>
        <rFont val="Arial"/>
        <family val="2"/>
      </rPr>
      <t xml:space="preserve"> </t>
    </r>
  </si>
  <si>
    <t>ab 01.07.2013</t>
  </si>
  <si>
    <t>max. für 10.000 kWh eigen verbrauchten Stroms</t>
  </si>
  <si>
    <r>
      <rPr>
        <b/>
        <sz val="11"/>
        <color indexed="10"/>
        <rFont val="Arial"/>
        <family val="2"/>
      </rPr>
      <t>Befreiung</t>
    </r>
    <r>
      <rPr>
        <sz val="11"/>
        <rFont val="Arial"/>
        <family val="2"/>
      </rPr>
      <t xml:space="preserve"> von der EEG-Umlage bei Anlagen </t>
    </r>
    <r>
      <rPr>
        <b/>
        <sz val="11"/>
        <color indexed="10"/>
        <rFont val="Arial"/>
        <family val="2"/>
      </rPr>
      <t>bis 10 kWp</t>
    </r>
    <r>
      <rPr>
        <sz val="11"/>
        <rFont val="Arial"/>
        <family val="2"/>
      </rPr>
      <t>;</t>
    </r>
  </si>
  <si>
    <t>ab 01.06.2013</t>
  </si>
  <si>
    <t>ab 01.05.2013</t>
  </si>
  <si>
    <t xml:space="preserve">&gt; Bestandsanlagen (mit gewissen Einschränkungen) </t>
  </si>
  <si>
    <t>&gt; Anlagen bis 10 kWp sind ausgenommen, befreit sind allerdings max. 10.000 kWh (10 MWh) selbst verbrauchten Stroms.</t>
  </si>
  <si>
    <t>Zu dieser Regel gibt es 2 wichtige Ausnahmen:</t>
  </si>
  <si>
    <t xml:space="preserve">abführen (i.d.R. gültig für Neuanlagen mit Inbetriebnahme nach 01.08.2014; Sonderregelungen siehe EEG 2014) </t>
  </si>
  <si>
    <t>ab 01.04.2013</t>
  </si>
  <si>
    <t>Wer künftig PV-Strom selbst verbraucht muss für diesen Eigenverbrauch eine anteilige EEG-Umlage</t>
  </si>
  <si>
    <t>EEG-Umlage für den Eigenverbrauch:</t>
  </si>
  <si>
    <t>ab 01.03.2013</t>
  </si>
  <si>
    <t xml:space="preserve">          0,1315 €/kWh                -                 0,0040 €/kWh)                      =         0,1275 €/kWh</t>
  </si>
  <si>
    <t>ab 01.02.2013</t>
  </si>
  <si>
    <t>"Anzulegender Wert" (§51)   -  "Abzugsbetrag" (§37 Abs.3 Satz 2)  =  "Einspeisevergütung" (§31 Abs. 1)</t>
  </si>
  <si>
    <t>Beispiel:  Berechnung der Einspeisevergütung für eine Anlage &lt; 10 kWp , Inbetriebnahme im August 2014:</t>
  </si>
  <si>
    <t xml:space="preserve"> geltend machen können (max. 500 kWp bis 31.12.2015  / max. 100 kWp ab 01.01.2016), festgelegt.</t>
  </si>
  <si>
    <t>ab 01.01.2013</t>
  </si>
  <si>
    <t>Der Abzug ist mit 0,4 Cent/kWh  =(0,004 €/kWh) für alle Größenklassen, die Anpsruch auf Einspeisevergütung</t>
  </si>
  <si>
    <t xml:space="preserve"> ein Abzugsbetrag (§37) abgezogen werden. </t>
  </si>
  <si>
    <t>Allerdings muss zur Berechnung der Einspeisevergütung vom "anzulegenden Wert" (§51)</t>
  </si>
  <si>
    <t>ab 01.12.2012</t>
  </si>
  <si>
    <t>Höhe der Einspeisevergütung</t>
  </si>
  <si>
    <t>ab 01.11.2012</t>
  </si>
  <si>
    <r>
      <t xml:space="preserve">max. 100 kWp) </t>
    </r>
    <r>
      <rPr>
        <b/>
        <u val="single"/>
        <sz val="11"/>
        <rFont val="Arial"/>
        <family val="2"/>
      </rPr>
      <t>kann weiterhin die Einspeisevergütung verlangen</t>
    </r>
    <r>
      <rPr>
        <sz val="11"/>
        <rFont val="Arial"/>
        <family val="2"/>
      </rPr>
      <t xml:space="preserve">. </t>
    </r>
  </si>
  <si>
    <t xml:space="preserve">D.h. wer eine "kleine Anlage" baut und betreibt (klein = max. 500 kWp bis 31.12.2015; danach nur noch </t>
  </si>
  <si>
    <t>ab 01.10.2012</t>
  </si>
  <si>
    <t>ab 01.09.2012</t>
  </si>
  <si>
    <t>ab 01.08.2012</t>
  </si>
  <si>
    <t xml:space="preserve"> ("altes Muster" = Anlagen mit Eigenverbrauch + Einspeisung mit Einspeisevergütung)</t>
  </si>
  <si>
    <t>gibt es eine besondere Regelung im EEG 2014,</t>
  </si>
  <si>
    <t xml:space="preserve">Für PV-Anlagen, die nach altem Muster eine Einspeisevergütung erhalten möchten </t>
  </si>
  <si>
    <t>ab 01.07.2012</t>
  </si>
  <si>
    <t>ab 01.06.2012</t>
  </si>
  <si>
    <t>ab 01.05.2012</t>
  </si>
  <si>
    <t>ab 01.04.2012</t>
  </si>
  <si>
    <t xml:space="preserve">Anzulegender Wert für PV-Anlagen in, an und auf Gebäuden: </t>
  </si>
  <si>
    <t>Anzulegender Wert für PV-Anlagen bis 10 MW</t>
  </si>
  <si>
    <t>bis 10 MWp</t>
  </si>
  <si>
    <t>bis 1 MWp</t>
  </si>
  <si>
    <t>bis 40 kWp</t>
  </si>
  <si>
    <t>bis 10 KWp</t>
  </si>
  <si>
    <t>Anlagen nach § 32 Abs. 1 EEG</t>
  </si>
  <si>
    <t>Anlagen nach § 32 Abs. 2 EEG (Dachanlagen)</t>
  </si>
  <si>
    <r>
      <t xml:space="preserve">Der "anzulegende Wert" gilt für das </t>
    </r>
    <r>
      <rPr>
        <b/>
        <sz val="11"/>
        <rFont val="Arial"/>
        <family val="2"/>
      </rPr>
      <t>Marktprämienmodell</t>
    </r>
    <r>
      <rPr>
        <sz val="11"/>
        <rFont val="Arial"/>
        <family val="2"/>
      </rPr>
      <t xml:space="preserve"> </t>
    </r>
  </si>
  <si>
    <t>Wie hoch ist künftig die Vergütung?</t>
  </si>
  <si>
    <t>ab dem 01.04.2012 bis 31.07.2014</t>
  </si>
  <si>
    <t xml:space="preserve">Vergütungssätze in Cent/kWh mit Degression und Rundung </t>
  </si>
  <si>
    <t>Alte Vergütungssätze:</t>
  </si>
  <si>
    <t>zu entnehmen.</t>
  </si>
  <si>
    <t>Wir raten jedem Nutzer des Programms, die Regelungen selbst dem Originaltext des EEG 2014</t>
  </si>
  <si>
    <t>Neue Vergütungssätze des EEG 2014 ab 01.08.2014:</t>
  </si>
  <si>
    <t>Die nachfolgenden Erläuterungen können jedoch eine eigene Lektüre des EEG 2014 nicht ersetzen !</t>
  </si>
  <si>
    <t>im Zusammenhang mit der Nutzung des Programms bekannt sein sollten.</t>
  </si>
  <si>
    <t>Stand: 31.07.2014</t>
  </si>
  <si>
    <t>Hinweis: Nachfolgend werden nur einige die wichtigsten Neuerungen des EEG 2014 erläutert, die</t>
  </si>
  <si>
    <t>http://www.bundesnetzagentur.de/cln_1931/DE/Sachgebiete/ElektrizitaetundGas/Unternehmen_Institutionen/ErneuerbareEnergien/Photovoltaik/DatenMeldgn_EEG-VergSaetze/DatenMeldgn_EEG-VergSaetze_node.html</t>
  </si>
  <si>
    <t>Quelle:</t>
  </si>
  <si>
    <t>http://www.solarwirtschaft.de/unsere-themen/erneuerbare-energien-gesetz</t>
  </si>
  <si>
    <t>BSW</t>
  </si>
  <si>
    <t>http://www.bundesnetzagentur.de/cln_1931/DE/Sachgebiete/ElektrizitaetGas/ErneuerbareEnergienGesetz/VerguetungssaetzePVAnlagen/VerguetungssaetzePhotovoltaik_Basepage.html?nn=135464</t>
  </si>
  <si>
    <t>Bundesnetzagentur</t>
  </si>
  <si>
    <t>Prinzipiell werden künftig Anlagen zur Erzeugung regenerativen Stroms nach dem Marktprämienmodell</t>
  </si>
  <si>
    <t>http://www.clearingstelle-eeg.de/fotovoltaik/</t>
  </si>
  <si>
    <t>Clearingstelle EEG</t>
  </si>
  <si>
    <t>http://www.bmu.de/erneuerbare_energien/downloads/doc/48898.php</t>
  </si>
  <si>
    <t>BMU</t>
  </si>
  <si>
    <t>http://www.erneuerbare-energien.de/erneuerbare_energien/pv-novelle_2012/doc/48542.php</t>
  </si>
  <si>
    <t>Berechnung der neuen Vergütungssätze für Strom aus solarer Strahlungsenergie</t>
  </si>
  <si>
    <t>EEG 2014</t>
  </si>
  <si>
    <t>weitere Info´s unter:</t>
  </si>
  <si>
    <t>Bundesgesetzblatt BGBl. 2014, Teil 1, Nr. 33, S. 1066 ff</t>
  </si>
  <si>
    <t>Zurück</t>
  </si>
  <si>
    <t>Aktueller Stand der PV-Vergütungen nach EEG + EEG 2014 (NEU)</t>
  </si>
  <si>
    <t>hier klicken um mehr zu erfahren ...</t>
  </si>
  <si>
    <t>(Voreinstellung: Standort =August 2014)</t>
  </si>
  <si>
    <t xml:space="preserve"> (NEU: ab 01.08.2014)</t>
  </si>
  <si>
    <t>+ anteilige  durchschnittliche  EEG-Umlage in € / kWh</t>
  </si>
  <si>
    <t xml:space="preserve">  Mit dem EEG 2014 erhöhen sich die Vollkosten der PV-</t>
  </si>
  <si>
    <t xml:space="preserve">  Stromerzeugung um die anteilige EEG-Umlage (sofern diese für den Anlagentyp abzuführen ist).</t>
  </si>
  <si>
    <t xml:space="preserve">  Jedermann prognostiziert &gt;&gt; der Strompreis wird steigen. Frage ist nur wieviel.</t>
  </si>
  <si>
    <t xml:space="preserve">Das vorliegende Programm beinhaltet den Stand vom Juli 2014 und wurde mit äußerster  </t>
  </si>
  <si>
    <t>bitte Projekt eintragen …</t>
  </si>
</sst>
</file>

<file path=xl/styles.xml><?xml version="1.0" encoding="utf-8"?>
<styleSheet xmlns="http://schemas.openxmlformats.org/spreadsheetml/2006/main">
  <numFmts count="7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 numFmtId="166" formatCode="0.00\ &quot;kWp&quot;"/>
    <numFmt numFmtId="167" formatCode="#,##0\ &quot;€/kWp&quot;"/>
    <numFmt numFmtId="168" formatCode="#,##0\ &quot;€&quot;"/>
    <numFmt numFmtId="169" formatCode="#,##0\ &quot;Jahre&quot;"/>
    <numFmt numFmtId="170" formatCode="#,##0\ &quot;€&quot;;#,##0\ &quot;€&quot;;[White]0"/>
    <numFmt numFmtId="171" formatCode="#,##0\ &quot;kWh&quot;"/>
    <numFmt numFmtId="172" formatCode="&quot;bis&quot;\ 0\ &quot;kWp&quot;"/>
    <numFmt numFmtId="173" formatCode="&quot;10 bis&quot;\ #,##0\ &quot;kWp&quot;"/>
    <numFmt numFmtId="174" formatCode="&quot;1.000 bis&quot;\ #,##0\ &quot;kWp&quot;"/>
    <numFmt numFmtId="175" formatCode="#,##0\ &quot;€&quot;;[Red]\-\ #,##0\ &quot;€&quot;;[White]#,##0\ &quot;€&quot;"/>
    <numFmt numFmtId="176" formatCode="#,##0.0000\ &quot;€/kWh&quot;;[Red]\-\ #,##0.0000\ &quot;€/kWh&quot;;[White]#,##0.0000\ &quot;€/kWh&quot;"/>
    <numFmt numFmtId="177" formatCode="&quot;10-&quot;\ #,##0&quot;kWp&quot;"/>
    <numFmt numFmtId="178" formatCode="&quot;30-&quot;\ #,##0&quot;kWp&quot;"/>
    <numFmt numFmtId="179" formatCode="&quot;100-&quot;\ #,##0&quot;kWp&quot;"/>
    <numFmt numFmtId="180" formatCode="&quot;über&quot;\ #,##0&quot;kWp&quot;"/>
    <numFmt numFmtId="181" formatCode="0.000"/>
    <numFmt numFmtId="182" formatCode="#,##0\ &quot;bis&quot;"/>
    <numFmt numFmtId="183" formatCode="#,##0\ &quot;kWp&quot;"/>
    <numFmt numFmtId="184" formatCode="#,##0\ &quot;kWp&quot;;0;[White]0"/>
    <numFmt numFmtId="185" formatCode="&quot;max.&quot;\ #,##0\ &quot;kWp&quot;"/>
    <numFmt numFmtId="186" formatCode="&quot;über&quot;\ 0\ &quot;kWp&quot;"/>
    <numFmt numFmtId="187" formatCode="&quot;bis&quot;\ 0%"/>
    <numFmt numFmtId="188" formatCode="#,##0\ &quot;kWh/kWp&quot;"/>
    <numFmt numFmtId="189" formatCode="0.0%;\-\ 0.0%;0.0%"/>
    <numFmt numFmtId="190" formatCode="0.0"/>
    <numFmt numFmtId="191" formatCode="0\ &quot;kWp&quot;"/>
    <numFmt numFmtId="192" formatCode="0;0;[Black]0"/>
    <numFmt numFmtId="193" formatCode="#,##0.000"/>
    <numFmt numFmtId="194" formatCode="#,##0.0"/>
    <numFmt numFmtId="195" formatCode="#,##0\ &quot;kWh/Jahr&quot;;#,##0;[White]#,##0"/>
    <numFmt numFmtId="196" formatCode="#,##0\ &quot;kWh&quot;;#,##0;[White]#,##0"/>
    <numFmt numFmtId="197" formatCode="0.00\ &quot;kWp&quot;;[Red]\-\ 0.00\ &quot;kWp&quot;;[White]0.00\ &quot;kWp&quot;"/>
    <numFmt numFmtId="198" formatCode="#,##0;[Red]\-\ #,##0;#,##0"/>
    <numFmt numFmtId="199" formatCode="&quot;(&quot;#,##0\ \ &quot;€/kWp )&quot;"/>
    <numFmt numFmtId="200" formatCode="#,##0.0\ &quot;€&quot;"/>
    <numFmt numFmtId="201" formatCode="&quot;(&quot;#,##0\ &quot;€&quot;&quot;)&quot;"/>
    <numFmt numFmtId="202" formatCode="0%;\-\ 0%;0%"/>
    <numFmt numFmtId="203" formatCode="&quot;über&quot;\ 0%"/>
    <numFmt numFmtId="204" formatCode="#,##0\ &quot;kWh&quot;;#,##0\ &quot;kWh&quot;;[White]#,##0\ &quot;kWh&quot;"/>
    <numFmt numFmtId="205" formatCode="#,##0\ &quot;€&quot;;[Red]\-#,##0\ &quot;€&quot;;[White]#,##0\ &quot;€&quot;"/>
    <numFmt numFmtId="206" formatCode="#,##0&quot; &quot;"/>
    <numFmt numFmtId="207" formatCode="0%\ &quot;Eigenstrom&quot;"/>
    <numFmt numFmtId="208" formatCode="#,##0.0000_ ;[Red]\-#,##0.0000\ "/>
    <numFmt numFmtId="209" formatCode="#,##0\ &quot;€&quot;;[Red]\-#,##0\ &quot;€&quot;;[White]0"/>
    <numFmt numFmtId="210" formatCode="&quot;i =&quot;\ #,##0.000_ ;&quot;i =&quot;\ \-#,##0.000\ "/>
    <numFmt numFmtId="211" formatCode="&quot;Sn=&quot;\ 0.0000"/>
    <numFmt numFmtId="212" formatCode="#,##0\ &quot;€&quot;;\-\ #,##0\ &quot;€&quot;;[White]#,##0\ &quot;€&quot;"/>
    <numFmt numFmtId="213" formatCode="&quot;rd.&quot;\ 0.0\ &quot;Cent/kWh&quot;;[Red]&quot;rd.&quot;\ \-0.0\ &quot;Cent/kWh&quot;;&quot;rd.&quot;\ 0.0\ &quot;Cent/kWh&quot;"/>
    <numFmt numFmtId="214" formatCode="#,##0.0000"/>
    <numFmt numFmtId="215" formatCode="&quot;40-&quot;\ #,##0&quot;kWp&quot;"/>
    <numFmt numFmtId="216" formatCode="#,##0&quot; - 10.000 kWp&quot;"/>
    <numFmt numFmtId="217" formatCode="#,##0\ &quot;€&quot;;[Red]\-\ #,##0\ &quot;€&quot;;#,##0\ &quot;€&quot;"/>
    <numFmt numFmtId="218" formatCode="&quot;rd.&quot;\ 0.0\ &quot;Cent/kWh&quot;;[Red]&quot;rd.&quot;\ \-\ 0.0\ &quot;Cent/kWh&quot;;&quot;rd.&quot;\ 0.0\ &quot;Cent/kWh&quot;"/>
    <numFmt numFmtId="219" formatCode="#,##0.00\ &quot;kWp&quot;"/>
    <numFmt numFmtId="220" formatCode="0\ &quot;Jahre&quot;"/>
    <numFmt numFmtId="221" formatCode="&quot;(&quot;\ #,##0\ &quot;kWh/kWp )&quot;"/>
    <numFmt numFmtId="222" formatCode="&quot;(&quot;0.0%&quot;)&quot;;&quot;(&quot;\-\ 0.0%&quot;)&quot;;&quot;(&quot;0.0%&quot;)&quot;"/>
    <numFmt numFmtId="223" formatCode="&quot;(&quot;0\ &quot;J.)&quot;"/>
    <numFmt numFmtId="224" formatCode="0.0000\ &quot;*&quot;"/>
    <numFmt numFmtId="225" formatCode="&quot; &quot;#,##0.00\ &quot;Cent/kWh&quot;"/>
    <numFmt numFmtId="226" formatCode="#,##0\ &quot;Monate&quot;"/>
    <numFmt numFmtId="227" formatCode="0.00000"/>
    <numFmt numFmtId="228" formatCode="#,##0.0000\ &quot;€/kWh&quot;;[Red]\-\ #,##0.0000\ &quot;€/kWh&quot;;[Black]#,##0.0000\ &quot;€/kWh&quot;"/>
    <numFmt numFmtId="229" formatCode="&quot;&quot;\ 0.00\ &quot;Cent/kWh&quot;;[Red]&quot;rd.&quot;\ \-\ 0.00\ &quot;Cent/kWh&quot;;&quot;rd.&quot;\ 0.00\ &quot;Cent/kWh&quot;"/>
    <numFmt numFmtId="230" formatCode="&quot;+EEG-Uml.&quot;\ 0.00\ &quot;Cent/kWh&quot;;[Red]&quot;+EEG-Uml.&quot;\ \-\ 0.00\ &quot;Cent/kWh&quot;;&quot;+EEG-Uml.&quot;\ 0.00\ &quot;Cent/kWh&quot;"/>
    <numFmt numFmtId="231" formatCode="&quot;rd.&quot;\ 0.0\ &quot;Ct/kWh&quot;;[Red]&quot;rd.&quot;\ \-\ 0.0\ &quot;Ct/kWh&quot;;&quot;rd.&quot;\ 0.0\ &quot;Ct/kWh&quot;"/>
    <numFmt numFmtId="232" formatCode="0.000000"/>
    <numFmt numFmtId="233" formatCode="&quot;+&quot;\ 0.00%"/>
  </numFmts>
  <fonts count="190">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2"/>
      <name val="Arial"/>
      <family val="2"/>
    </font>
    <font>
      <sz val="7"/>
      <name val="Arial"/>
      <family val="2"/>
    </font>
    <font>
      <b/>
      <sz val="14"/>
      <name val="Arial"/>
      <family val="2"/>
    </font>
    <font>
      <sz val="6"/>
      <name val="Arial"/>
      <family val="2"/>
    </font>
    <font>
      <b/>
      <sz val="11"/>
      <name val="Arial"/>
      <family val="2"/>
    </font>
    <font>
      <b/>
      <u val="single"/>
      <sz val="10"/>
      <name val="Arial"/>
      <family val="2"/>
    </font>
    <font>
      <sz val="11"/>
      <name val="Arial"/>
      <family val="2"/>
    </font>
    <font>
      <b/>
      <sz val="9"/>
      <name val="Arial"/>
      <family val="2"/>
    </font>
    <font>
      <sz val="9"/>
      <name val="Arial"/>
      <family val="2"/>
    </font>
    <font>
      <sz val="9"/>
      <name val="Symbol"/>
      <family val="1"/>
    </font>
    <font>
      <sz val="10"/>
      <color indexed="12"/>
      <name val="Arial"/>
      <family val="2"/>
    </font>
    <font>
      <b/>
      <sz val="9"/>
      <color indexed="12"/>
      <name val="Arial"/>
      <family val="2"/>
    </font>
    <font>
      <b/>
      <sz val="9"/>
      <color indexed="10"/>
      <name val="Arial"/>
      <family val="2"/>
    </font>
    <font>
      <sz val="10"/>
      <color indexed="9"/>
      <name val="Arial"/>
      <family val="2"/>
    </font>
    <font>
      <sz val="9"/>
      <color indexed="10"/>
      <name val="Arial"/>
      <family val="2"/>
    </font>
    <font>
      <sz val="10"/>
      <color indexed="10"/>
      <name val="Arial"/>
      <family val="2"/>
    </font>
    <font>
      <sz val="9"/>
      <color indexed="12"/>
      <name val="Arial"/>
      <family val="2"/>
    </font>
    <font>
      <sz val="10"/>
      <color indexed="17"/>
      <name val="Arial"/>
      <family val="2"/>
    </font>
    <font>
      <sz val="9"/>
      <color indexed="17"/>
      <name val="Arial"/>
      <family val="2"/>
    </font>
    <font>
      <sz val="8"/>
      <color indexed="13"/>
      <name val="Arial"/>
      <family val="2"/>
    </font>
    <font>
      <b/>
      <sz val="6"/>
      <color indexed="13"/>
      <name val="Arial"/>
      <family val="2"/>
    </font>
    <font>
      <sz val="10"/>
      <color indexed="63"/>
      <name val="Arial"/>
      <family val="2"/>
    </font>
    <font>
      <b/>
      <sz val="10"/>
      <color indexed="63"/>
      <name val="Arial"/>
      <family val="2"/>
    </font>
    <font>
      <b/>
      <sz val="9"/>
      <name val="Arial Narrow"/>
      <family val="2"/>
    </font>
    <font>
      <sz val="10"/>
      <name val="Symbol"/>
      <family val="1"/>
    </font>
    <font>
      <sz val="8"/>
      <name val="Tahoma"/>
      <family val="2"/>
    </font>
    <font>
      <b/>
      <sz val="8"/>
      <name val="Tahoma"/>
      <family val="2"/>
    </font>
    <font>
      <b/>
      <sz val="11"/>
      <color indexed="10"/>
      <name val="Arial"/>
      <family val="2"/>
    </font>
    <font>
      <b/>
      <sz val="10"/>
      <name val="Symbol"/>
      <family val="1"/>
    </font>
    <font>
      <sz val="12"/>
      <name val="Arial"/>
      <family val="2"/>
    </font>
    <font>
      <b/>
      <sz val="8"/>
      <name val="Arial"/>
      <family val="2"/>
    </font>
    <font>
      <sz val="8"/>
      <name val="Arial Narrow"/>
      <family val="2"/>
    </font>
    <font>
      <sz val="10"/>
      <name val="Calibri"/>
      <family val="2"/>
    </font>
    <font>
      <b/>
      <u val="single"/>
      <sz val="11"/>
      <name val="Arial"/>
      <family val="2"/>
    </font>
    <font>
      <b/>
      <sz val="9"/>
      <color indexed="14"/>
      <name val="Arial"/>
      <family val="2"/>
    </font>
    <font>
      <i/>
      <sz val="8"/>
      <name val="Arial"/>
      <family val="2"/>
    </font>
    <font>
      <b/>
      <i/>
      <sz val="10"/>
      <name val="Arial"/>
      <family val="2"/>
    </font>
    <font>
      <u val="single"/>
      <sz val="11"/>
      <name val="Arial"/>
      <family val="2"/>
    </font>
    <font>
      <i/>
      <sz val="9"/>
      <name val="Arial"/>
      <family val="2"/>
    </font>
    <font>
      <sz val="14"/>
      <name val="Arial"/>
      <family val="2"/>
    </font>
    <font>
      <b/>
      <sz val="16"/>
      <name val="Arial"/>
      <family val="2"/>
    </font>
    <font>
      <b/>
      <sz val="10"/>
      <color indexed="12"/>
      <name val="Arial"/>
      <family val="2"/>
    </font>
    <font>
      <sz val="8"/>
      <name val="Comic Sans MS"/>
      <family val="4"/>
    </font>
    <font>
      <sz val="16"/>
      <color indexed="12"/>
      <name val="Comic Sans MS"/>
      <family val="4"/>
    </font>
    <font>
      <b/>
      <sz val="12"/>
      <name val="Comic Sans MS"/>
      <family val="4"/>
    </font>
    <font>
      <b/>
      <sz val="16"/>
      <name val="Comic Sans MS"/>
      <family val="4"/>
    </font>
    <font>
      <u val="single"/>
      <sz val="10"/>
      <name val="Arial"/>
      <family val="2"/>
    </font>
    <font>
      <b/>
      <u val="single"/>
      <sz val="8"/>
      <color indexed="12"/>
      <name val="Arial"/>
      <family val="2"/>
    </font>
    <font>
      <b/>
      <sz val="10"/>
      <name val="Comic Sans MS"/>
      <family val="4"/>
    </font>
    <font>
      <b/>
      <i/>
      <sz val="10"/>
      <color indexed="57"/>
      <name val="Arial"/>
      <family val="2"/>
    </font>
    <font>
      <sz val="10"/>
      <name val="Comic Sans MS"/>
      <family val="4"/>
    </font>
    <font>
      <b/>
      <sz val="8"/>
      <name val="Comic Sans MS"/>
      <family val="4"/>
    </font>
    <font>
      <b/>
      <sz val="12"/>
      <color indexed="12"/>
      <name val="Comic Sans MS"/>
      <family val="4"/>
    </font>
    <font>
      <u val="single"/>
      <sz val="9"/>
      <name val="Arial"/>
      <family val="2"/>
    </font>
    <font>
      <sz val="14"/>
      <color indexed="12"/>
      <name val="Arial"/>
      <family val="2"/>
    </font>
    <font>
      <b/>
      <i/>
      <sz val="12"/>
      <name val="Arial"/>
      <family val="2"/>
    </font>
    <font>
      <i/>
      <sz val="10"/>
      <name val="Arial"/>
      <family val="2"/>
    </font>
    <font>
      <u val="single"/>
      <sz val="10"/>
      <color indexed="10"/>
      <name val="Arial"/>
      <family val="2"/>
    </font>
    <font>
      <b/>
      <u val="single"/>
      <sz val="14"/>
      <name val="Arial"/>
      <family val="2"/>
    </font>
    <font>
      <u val="single"/>
      <sz val="16"/>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23"/>
      <name val="Arial"/>
      <family val="2"/>
    </font>
    <font>
      <sz val="9"/>
      <color indexed="23"/>
      <name val="Arial"/>
      <family val="2"/>
    </font>
    <font>
      <sz val="7"/>
      <color indexed="23"/>
      <name val="Arial"/>
      <family val="2"/>
    </font>
    <font>
      <sz val="8"/>
      <color indexed="10"/>
      <name val="Arial"/>
      <family val="2"/>
    </font>
    <font>
      <b/>
      <sz val="10"/>
      <color indexed="30"/>
      <name val="Arial"/>
      <family val="2"/>
    </font>
    <font>
      <b/>
      <sz val="10"/>
      <color indexed="10"/>
      <name val="Arial"/>
      <family val="2"/>
    </font>
    <font>
      <b/>
      <sz val="10"/>
      <color indexed="12"/>
      <name val="Symbol"/>
      <family val="1"/>
    </font>
    <font>
      <b/>
      <sz val="10"/>
      <color indexed="11"/>
      <name val="Arial"/>
      <family val="2"/>
    </font>
    <font>
      <b/>
      <sz val="11"/>
      <color indexed="9"/>
      <name val="Arial"/>
      <family val="2"/>
    </font>
    <font>
      <sz val="11"/>
      <color indexed="9"/>
      <name val="Arial"/>
      <family val="2"/>
    </font>
    <font>
      <sz val="8"/>
      <color indexed="17"/>
      <name val="Arial"/>
      <family val="2"/>
    </font>
    <font>
      <b/>
      <sz val="9"/>
      <color indexed="63"/>
      <name val="Arial"/>
      <family val="2"/>
    </font>
    <font>
      <sz val="9"/>
      <color indexed="63"/>
      <name val="Arial"/>
      <family val="2"/>
    </font>
    <font>
      <sz val="9"/>
      <color indexed="9"/>
      <name val="Arial"/>
      <family val="2"/>
    </font>
    <font>
      <sz val="7"/>
      <color indexed="23"/>
      <name val="Arial Narrow"/>
      <family val="2"/>
    </font>
    <font>
      <b/>
      <sz val="10"/>
      <color indexed="9"/>
      <name val="Arial"/>
      <family val="2"/>
    </font>
    <font>
      <sz val="6"/>
      <color indexed="9"/>
      <name val="Arial"/>
      <family val="2"/>
    </font>
    <font>
      <b/>
      <sz val="14"/>
      <color indexed="9"/>
      <name val="Arial"/>
      <family val="2"/>
    </font>
    <font>
      <b/>
      <sz val="12"/>
      <color indexed="9"/>
      <name val="Arial"/>
      <family val="2"/>
    </font>
    <font>
      <sz val="8"/>
      <color indexed="9"/>
      <name val="Arial"/>
      <family val="2"/>
    </font>
    <font>
      <sz val="8"/>
      <color indexed="14"/>
      <name val="Arial"/>
      <family val="2"/>
    </font>
    <font>
      <sz val="8"/>
      <color indexed="12"/>
      <name val="Arial"/>
      <family val="2"/>
    </font>
    <font>
      <sz val="6"/>
      <color indexed="63"/>
      <name val="Arial"/>
      <family val="2"/>
    </font>
    <font>
      <b/>
      <sz val="10"/>
      <color indexed="14"/>
      <name val="Arial"/>
      <family val="2"/>
    </font>
    <font>
      <u val="single"/>
      <sz val="10"/>
      <color indexed="55"/>
      <name val="Arial"/>
      <family val="2"/>
    </font>
    <font>
      <sz val="11"/>
      <color indexed="12"/>
      <name val="Arial"/>
      <family val="2"/>
    </font>
    <font>
      <b/>
      <u val="single"/>
      <sz val="11"/>
      <color indexed="10"/>
      <name val="Arial"/>
      <family val="2"/>
    </font>
    <font>
      <b/>
      <u val="single"/>
      <sz val="11"/>
      <color indexed="17"/>
      <name val="Arial"/>
      <family val="2"/>
    </font>
    <font>
      <sz val="11"/>
      <color indexed="10"/>
      <name val="Arial"/>
      <family val="2"/>
    </font>
    <font>
      <b/>
      <sz val="11"/>
      <color indexed="8"/>
      <name val="Arial"/>
      <family val="2"/>
    </font>
    <font>
      <b/>
      <u val="single"/>
      <sz val="11"/>
      <color indexed="8"/>
      <name val="Arial"/>
      <family val="2"/>
    </font>
    <font>
      <sz val="7"/>
      <color indexed="9"/>
      <name val="Arial"/>
      <family val="2"/>
    </font>
    <font>
      <b/>
      <sz val="12"/>
      <color indexed="10"/>
      <name val="Arial"/>
      <family val="2"/>
    </font>
    <font>
      <sz val="7"/>
      <color indexed="10"/>
      <name val="Arial"/>
      <family val="2"/>
    </font>
    <font>
      <b/>
      <sz val="8"/>
      <color indexed="10"/>
      <name val="Arial"/>
      <family val="2"/>
    </font>
    <font>
      <b/>
      <sz val="9"/>
      <color indexed="9"/>
      <name val="Arial"/>
      <family val="2"/>
    </font>
    <font>
      <sz val="10"/>
      <color indexed="8"/>
      <name val="Calibri"/>
      <family val="0"/>
    </font>
    <font>
      <sz val="8"/>
      <color indexed="8"/>
      <name val="Arial"/>
      <family val="0"/>
    </font>
    <font>
      <sz val="11"/>
      <color indexed="8"/>
      <name val="Arial"/>
      <family val="0"/>
    </font>
    <font>
      <sz val="10"/>
      <color indexed="8"/>
      <name val="Arial"/>
      <family val="0"/>
    </font>
    <font>
      <b/>
      <i/>
      <sz val="11"/>
      <color indexed="8"/>
      <name val="Arial"/>
      <family val="0"/>
    </font>
    <font>
      <sz val="20"/>
      <color indexed="17"/>
      <name val="Calibri"/>
      <family val="0"/>
    </font>
    <font>
      <sz val="20"/>
      <color indexed="10"/>
      <name val="Calibri"/>
      <family val="0"/>
    </font>
    <font>
      <sz val="9.25"/>
      <color indexed="8"/>
      <name val="Times New Roman"/>
      <family val="0"/>
    </font>
    <font>
      <b/>
      <sz val="9.25"/>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8"/>
      <color theme="1" tint="0.49998000264167786"/>
      <name val="Arial"/>
      <family val="2"/>
    </font>
    <font>
      <sz val="9"/>
      <color theme="1" tint="0.49998000264167786"/>
      <name val="Arial"/>
      <family val="2"/>
    </font>
    <font>
      <sz val="7"/>
      <color theme="1" tint="0.49998000264167786"/>
      <name val="Arial"/>
      <family val="2"/>
    </font>
    <font>
      <sz val="8"/>
      <color rgb="FFFF0000"/>
      <name val="Arial"/>
      <family val="2"/>
    </font>
    <font>
      <b/>
      <sz val="10"/>
      <color rgb="FF0070C0"/>
      <name val="Arial"/>
      <family val="2"/>
    </font>
    <font>
      <b/>
      <sz val="10"/>
      <color rgb="FFFF0000"/>
      <name val="Arial"/>
      <family val="2"/>
    </font>
    <font>
      <b/>
      <sz val="10"/>
      <color rgb="FF0000FF"/>
      <name val="Symbol"/>
      <family val="1"/>
    </font>
    <font>
      <b/>
      <sz val="10"/>
      <color rgb="FF0000FF"/>
      <name val="Arial"/>
      <family val="2"/>
    </font>
    <font>
      <b/>
      <sz val="10"/>
      <color rgb="FF00FF00"/>
      <name val="Arial"/>
      <family val="2"/>
    </font>
    <font>
      <b/>
      <sz val="11"/>
      <color theme="0"/>
      <name val="Arial"/>
      <family val="2"/>
    </font>
    <font>
      <sz val="11"/>
      <color theme="0"/>
      <name val="Arial"/>
      <family val="2"/>
    </font>
    <font>
      <sz val="9"/>
      <color rgb="FF00B050"/>
      <name val="Arial"/>
      <family val="2"/>
    </font>
    <font>
      <sz val="8"/>
      <color rgb="FF00B050"/>
      <name val="Arial"/>
      <family val="2"/>
    </font>
    <font>
      <b/>
      <sz val="9"/>
      <color theme="1" tint="0.34999001026153564"/>
      <name val="Arial"/>
      <family val="2"/>
    </font>
    <font>
      <sz val="9"/>
      <color theme="1" tint="0.34999001026153564"/>
      <name val="Arial"/>
      <family val="2"/>
    </font>
    <font>
      <sz val="9"/>
      <color theme="0"/>
      <name val="Arial"/>
      <family val="2"/>
    </font>
    <font>
      <sz val="10"/>
      <color rgb="FF0000FF"/>
      <name val="Arial"/>
      <family val="2"/>
    </font>
    <font>
      <sz val="7"/>
      <color theme="1" tint="0.49998000264167786"/>
      <name val="Arial Narrow"/>
      <family val="2"/>
    </font>
    <font>
      <b/>
      <sz val="10"/>
      <color theme="0"/>
      <name val="Arial"/>
      <family val="2"/>
    </font>
    <font>
      <sz val="6"/>
      <color theme="0"/>
      <name val="Arial"/>
      <family val="2"/>
    </font>
    <font>
      <b/>
      <sz val="14"/>
      <color theme="0"/>
      <name val="Arial"/>
      <family val="2"/>
    </font>
    <font>
      <b/>
      <sz val="12"/>
      <color theme="0"/>
      <name val="Arial"/>
      <family val="2"/>
    </font>
    <font>
      <sz val="8"/>
      <color theme="0"/>
      <name val="Arial"/>
      <family val="2"/>
    </font>
    <font>
      <sz val="10"/>
      <color theme="0"/>
      <name val="Arial"/>
      <family val="2"/>
    </font>
    <font>
      <sz val="8"/>
      <color rgb="FFFF00FF"/>
      <name val="Arial"/>
      <family val="2"/>
    </font>
    <font>
      <sz val="8"/>
      <color rgb="FF0000FF"/>
      <name val="Arial"/>
      <family val="2"/>
    </font>
    <font>
      <b/>
      <sz val="10"/>
      <color rgb="FF0066FF"/>
      <name val="Arial"/>
      <family val="2"/>
    </font>
    <font>
      <sz val="10"/>
      <color rgb="FFFF0000"/>
      <name val="Arial"/>
      <family val="2"/>
    </font>
    <font>
      <sz val="6"/>
      <color theme="1" tint="0.34999001026153564"/>
      <name val="Arial"/>
      <family val="2"/>
    </font>
    <font>
      <b/>
      <sz val="10"/>
      <color rgb="FFFF00FF"/>
      <name val="Arial"/>
      <family val="2"/>
    </font>
    <font>
      <u val="single"/>
      <sz val="10"/>
      <color theme="0" tint="-0.3499799966812134"/>
      <name val="Arial"/>
      <family val="2"/>
    </font>
    <font>
      <u val="single"/>
      <sz val="10"/>
      <color rgb="FFFF0000"/>
      <name val="Arial"/>
      <family val="2"/>
    </font>
    <font>
      <b/>
      <sz val="11"/>
      <color rgb="FFFF0000"/>
      <name val="Arial"/>
      <family val="2"/>
    </font>
    <font>
      <sz val="11"/>
      <color rgb="FF0000FF"/>
      <name val="Arial"/>
      <family val="2"/>
    </font>
    <font>
      <b/>
      <u val="single"/>
      <sz val="11"/>
      <color rgb="FFFF0000"/>
      <name val="Arial"/>
      <family val="2"/>
    </font>
    <font>
      <b/>
      <u val="single"/>
      <sz val="11"/>
      <color rgb="FF006600"/>
      <name val="Arial"/>
      <family val="2"/>
    </font>
    <font>
      <sz val="11"/>
      <color rgb="FFFF0000"/>
      <name val="Arial"/>
      <family val="2"/>
    </font>
    <font>
      <b/>
      <sz val="11"/>
      <color theme="1"/>
      <name val="Arial"/>
      <family val="2"/>
    </font>
    <font>
      <b/>
      <u val="single"/>
      <sz val="11"/>
      <color theme="1"/>
      <name val="Arial"/>
      <family val="2"/>
    </font>
    <font>
      <sz val="7"/>
      <color theme="0"/>
      <name val="Arial"/>
      <family val="2"/>
    </font>
    <font>
      <b/>
      <sz val="12"/>
      <color rgb="FFFF0000"/>
      <name val="Arial"/>
      <family val="2"/>
    </font>
    <font>
      <b/>
      <sz val="9"/>
      <color rgb="FFFF0000"/>
      <name val="Arial"/>
      <family val="2"/>
    </font>
    <font>
      <b/>
      <sz val="8"/>
      <color rgb="FFFF0000"/>
      <name val="Arial"/>
      <family val="2"/>
    </font>
    <font>
      <sz val="7"/>
      <color rgb="FFFF0000"/>
      <name val="Arial"/>
      <family val="2"/>
    </font>
    <font>
      <b/>
      <sz val="9"/>
      <color theme="0"/>
      <name val="Arial"/>
      <family val="2"/>
    </font>
  </fonts>
  <fills count="7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14"/>
        <bgColor indexed="64"/>
      </patternFill>
    </fill>
    <fill>
      <patternFill patternType="solid">
        <fgColor rgb="FF99FF33"/>
        <bgColor indexed="64"/>
      </patternFill>
    </fill>
    <fill>
      <patternFill patternType="solid">
        <fgColor rgb="FFFFFF99"/>
        <bgColor indexed="64"/>
      </patternFill>
    </fill>
    <fill>
      <patternFill patternType="solid">
        <fgColor rgb="FFCCFFFF"/>
        <bgColor indexed="64"/>
      </patternFill>
    </fill>
    <fill>
      <patternFill patternType="solid">
        <fgColor rgb="FF0000FF"/>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99FFCC"/>
        <bgColor indexed="64"/>
      </patternFill>
    </fill>
    <fill>
      <patternFill patternType="solid">
        <fgColor rgb="FF66CCFF"/>
        <bgColor indexed="64"/>
      </patternFill>
    </fill>
    <fill>
      <patternFill patternType="solid">
        <fgColor indexed="13"/>
        <bgColor indexed="64"/>
      </patternFill>
    </fill>
    <fill>
      <patternFill patternType="solid">
        <fgColor indexed="41"/>
        <bgColor indexed="64"/>
      </patternFill>
    </fill>
    <fill>
      <patternFill patternType="solid">
        <fgColor rgb="FFD9FFD9"/>
        <bgColor indexed="64"/>
      </patternFill>
    </fill>
    <fill>
      <patternFill patternType="solid">
        <fgColor rgb="FFFFFF00"/>
        <bgColor indexed="64"/>
      </patternFill>
    </fill>
    <fill>
      <patternFill patternType="solid">
        <fgColor rgb="FF00FF00"/>
        <bgColor indexed="64"/>
      </patternFill>
    </fill>
    <fill>
      <patternFill patternType="solid">
        <fgColor rgb="FF009900"/>
        <bgColor indexed="64"/>
      </patternFill>
    </fill>
    <fill>
      <patternFill patternType="solid">
        <fgColor rgb="FF99FF66"/>
        <bgColor indexed="64"/>
      </patternFill>
    </fill>
    <fill>
      <patternFill patternType="solid">
        <fgColor rgb="FFFFFF66"/>
        <bgColor indexed="64"/>
      </patternFill>
    </fill>
    <fill>
      <patternFill patternType="solid">
        <fgColor theme="0"/>
        <bgColor indexed="64"/>
      </patternFill>
    </fill>
    <fill>
      <patternFill patternType="solid">
        <fgColor rgb="FF0000FF"/>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3499799966812134"/>
        <bgColor indexed="64"/>
      </patternFill>
    </fill>
    <fill>
      <patternFill patternType="solid">
        <fgColor rgb="FF99FF66"/>
        <bgColor indexed="64"/>
      </patternFill>
    </fill>
    <fill>
      <patternFill patternType="solid">
        <fgColor rgb="FF00B050"/>
        <bgColor indexed="64"/>
      </patternFill>
    </fill>
    <fill>
      <patternFill patternType="solid">
        <fgColor rgb="FF99FF99"/>
        <bgColor indexed="64"/>
      </patternFill>
    </fill>
    <fill>
      <patternFill patternType="solid">
        <fgColor rgb="FF92D050"/>
        <bgColor indexed="64"/>
      </patternFill>
    </fill>
    <fill>
      <patternFill patternType="solid">
        <fgColor rgb="FFFF66FF"/>
        <bgColor indexed="64"/>
      </patternFill>
    </fill>
    <fill>
      <patternFill patternType="solid">
        <fgColor indexed="12"/>
        <bgColor indexed="64"/>
      </patternFill>
    </fill>
    <fill>
      <patternFill patternType="solid">
        <fgColor theme="0" tint="-0.24993999302387238"/>
        <bgColor indexed="64"/>
      </patternFill>
    </fill>
    <fill>
      <patternFill patternType="solid">
        <fgColor rgb="FFFFCCFF"/>
        <bgColor indexed="64"/>
      </patternFill>
    </fill>
    <fill>
      <patternFill patternType="solid">
        <fgColor rgb="FF00FFFF"/>
        <bgColor indexed="64"/>
      </patternFill>
    </fill>
    <fill>
      <patternFill patternType="solid">
        <fgColor rgb="FFD9FFD9"/>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FF3300"/>
        <bgColor indexed="64"/>
      </patternFill>
    </fill>
  </fills>
  <borders count="2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ck">
        <color indexed="40"/>
      </bottom>
    </border>
    <border>
      <left style="thick">
        <color indexed="40"/>
      </left>
      <right>
        <color indexed="63"/>
      </right>
      <top>
        <color indexed="63"/>
      </top>
      <bottom>
        <color indexed="63"/>
      </bottom>
    </border>
    <border>
      <left style="hair">
        <color indexed="55"/>
      </left>
      <right style="hair">
        <color indexed="55"/>
      </right>
      <top style="thin">
        <color indexed="55"/>
      </top>
      <bottom style="thick">
        <color indexed="40"/>
      </bottom>
    </border>
    <border>
      <left style="hair">
        <color indexed="55"/>
      </left>
      <right>
        <color indexed="63"/>
      </right>
      <top style="thin">
        <color indexed="55"/>
      </top>
      <bottom style="thin">
        <color indexed="55"/>
      </bottom>
    </border>
    <border>
      <left style="hair">
        <color indexed="55"/>
      </left>
      <right>
        <color indexed="63"/>
      </right>
      <top style="thin">
        <color indexed="55"/>
      </top>
      <bottom style="thick">
        <color indexed="40"/>
      </bottom>
    </border>
    <border>
      <left style="hair">
        <color indexed="55"/>
      </left>
      <right style="hair">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ck">
        <color indexed="40"/>
      </bottom>
    </border>
    <border>
      <left>
        <color indexed="63"/>
      </left>
      <right style="hair">
        <color indexed="55"/>
      </right>
      <top style="thin">
        <color indexed="55"/>
      </top>
      <bottom style="thin">
        <color indexed="55"/>
      </bottom>
    </border>
    <border>
      <left>
        <color indexed="63"/>
      </left>
      <right style="hair">
        <color indexed="55"/>
      </right>
      <top style="thin">
        <color indexed="55"/>
      </top>
      <bottom style="thick">
        <color indexed="40"/>
      </bottom>
    </border>
    <border>
      <left style="thin"/>
      <right style="hair">
        <color indexed="55"/>
      </right>
      <top style="thin"/>
      <bottom style="thin"/>
    </border>
    <border>
      <left style="hair">
        <color indexed="55"/>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style="hair">
        <color indexed="55"/>
      </left>
      <right style="thin"/>
      <top style="thin">
        <color indexed="55"/>
      </top>
      <bottom style="thin">
        <color indexed="55"/>
      </bottom>
    </border>
    <border>
      <left style="thin"/>
      <right>
        <color indexed="63"/>
      </right>
      <top style="thin"/>
      <bottom style="thin"/>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hair">
        <color indexed="55"/>
      </left>
      <right style="thin"/>
      <top>
        <color indexed="63"/>
      </top>
      <bottom style="thin">
        <color indexed="55"/>
      </bottom>
    </border>
    <border>
      <left style="thin"/>
      <right style="hair">
        <color indexed="55"/>
      </right>
      <top>
        <color indexed="63"/>
      </top>
      <bottom style="thin"/>
    </border>
    <border>
      <left style="hair">
        <color indexed="55"/>
      </left>
      <right style="thin"/>
      <top>
        <color indexed="63"/>
      </top>
      <bottom style="thin"/>
    </border>
    <border>
      <left style="thin"/>
      <right>
        <color indexed="63"/>
      </right>
      <top>
        <color indexed="63"/>
      </top>
      <bottom style="thin"/>
    </border>
    <border>
      <left style="thin">
        <color indexed="55"/>
      </left>
      <right>
        <color indexed="63"/>
      </right>
      <top style="thin">
        <color indexed="55"/>
      </top>
      <bottom style="thick">
        <color indexed="12"/>
      </bottom>
    </border>
    <border>
      <left>
        <color indexed="63"/>
      </left>
      <right>
        <color indexed="63"/>
      </right>
      <top style="thin">
        <color indexed="55"/>
      </top>
      <bottom style="thick">
        <color indexed="12"/>
      </bottom>
    </border>
    <border>
      <left style="hair">
        <color indexed="55"/>
      </left>
      <right style="thin"/>
      <top style="thin">
        <color indexed="55"/>
      </top>
      <bottom style="thick">
        <color indexed="12"/>
      </bottom>
    </border>
    <border>
      <left style="thin"/>
      <right style="hair">
        <color indexed="55"/>
      </right>
      <top style="thin"/>
      <bottom style="thick">
        <color indexed="12"/>
      </bottom>
    </border>
    <border>
      <left style="hair">
        <color indexed="55"/>
      </left>
      <right style="thin"/>
      <top style="thin"/>
      <bottom style="thick">
        <color indexed="12"/>
      </bottom>
    </border>
    <border>
      <left style="thin"/>
      <right>
        <color indexed="63"/>
      </right>
      <top style="thin"/>
      <bottom style="thick">
        <color indexed="12"/>
      </bottom>
    </border>
    <border>
      <left>
        <color indexed="63"/>
      </left>
      <right style="thin"/>
      <top style="thin"/>
      <bottom style="thick">
        <color indexed="12"/>
      </bottom>
    </border>
    <border>
      <left style="thick">
        <color indexed="40"/>
      </left>
      <right style="thin">
        <color indexed="55"/>
      </right>
      <top>
        <color indexed="63"/>
      </top>
      <bottom style="thick">
        <color indexed="40"/>
      </bottom>
    </border>
    <border>
      <left style="thick">
        <color indexed="40"/>
      </left>
      <right>
        <color indexed="63"/>
      </right>
      <top>
        <color indexed="63"/>
      </top>
      <bottom style="thick">
        <color indexed="12"/>
      </bottom>
    </border>
    <border>
      <left style="hair">
        <color indexed="55"/>
      </left>
      <right>
        <color indexed="63"/>
      </right>
      <top style="thin"/>
      <bottom style="thin">
        <color indexed="55"/>
      </bottom>
    </border>
    <border>
      <left>
        <color indexed="63"/>
      </left>
      <right>
        <color indexed="63"/>
      </right>
      <top style="thin"/>
      <bottom style="thin">
        <color indexed="55"/>
      </bottom>
    </border>
    <border>
      <left>
        <color indexed="63"/>
      </left>
      <right>
        <color indexed="63"/>
      </right>
      <top>
        <color indexed="63"/>
      </top>
      <bottom style="thick">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color indexed="12"/>
      </bottom>
    </border>
    <border>
      <left>
        <color indexed="63"/>
      </left>
      <right style="thin"/>
      <top>
        <color indexed="63"/>
      </top>
      <bottom style="thick">
        <color indexed="12"/>
      </bottom>
    </border>
    <border>
      <left>
        <color indexed="63"/>
      </left>
      <right>
        <color indexed="63"/>
      </right>
      <top>
        <color indexed="63"/>
      </top>
      <bottom style="thick">
        <color indexed="40"/>
      </bottom>
    </border>
    <border>
      <left style="thin"/>
      <right>
        <color indexed="63"/>
      </right>
      <top style="thick">
        <color indexed="12"/>
      </top>
      <bottom>
        <color indexed="63"/>
      </bottom>
    </border>
    <border>
      <left>
        <color indexed="63"/>
      </left>
      <right style="thin"/>
      <top style="thick">
        <color indexed="12"/>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thin"/>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color indexed="63"/>
      </right>
      <top style="dashed"/>
      <bottom style="dashed"/>
    </border>
    <border>
      <left style="thin">
        <color rgb="FF0000FF"/>
      </left>
      <right style="thin">
        <color rgb="FF0000FF"/>
      </right>
      <top style="dotted"/>
      <bottom style="dotted"/>
    </border>
    <border>
      <left style="thin">
        <color rgb="FF0000FF"/>
      </left>
      <right style="thin">
        <color rgb="FF0000FF"/>
      </right>
      <top>
        <color indexed="63"/>
      </top>
      <bottom>
        <color indexed="63"/>
      </bottom>
    </border>
    <border>
      <left style="thin"/>
      <right style="thin"/>
      <top>
        <color indexed="63"/>
      </top>
      <bottom>
        <color indexed="63"/>
      </bottom>
    </border>
    <border>
      <left style="thin"/>
      <right style="thin"/>
      <top style="dashed"/>
      <bottom style="dashed"/>
    </border>
    <border>
      <left style="thin">
        <color rgb="FF0000FF"/>
      </left>
      <right style="thin">
        <color rgb="FF0000FF"/>
      </right>
      <top style="thin">
        <color rgb="FF0000FF"/>
      </top>
      <bottom>
        <color indexed="63"/>
      </bottom>
    </border>
    <border>
      <left style="thin">
        <color rgb="FF0000FF"/>
      </left>
      <right style="thin">
        <color rgb="FF0000FF"/>
      </right>
      <top style="dotted"/>
      <bottom>
        <color indexed="63"/>
      </bottom>
    </border>
    <border>
      <left style="thin">
        <color rgb="FFFF0000"/>
      </left>
      <right style="thin">
        <color rgb="FFFF0000"/>
      </right>
      <top style="thin">
        <color rgb="FFFF0000"/>
      </top>
      <bottom style="thin">
        <color rgb="FFFF0000"/>
      </bottom>
    </border>
    <border>
      <left>
        <color indexed="63"/>
      </left>
      <right style="thin">
        <color rgb="FF0000FF"/>
      </right>
      <top style="thin">
        <color rgb="FF0000FF"/>
      </top>
      <bottom>
        <color indexed="63"/>
      </bottom>
    </border>
    <border>
      <left>
        <color indexed="63"/>
      </left>
      <right style="thin">
        <color rgb="FF0000FF"/>
      </right>
      <top>
        <color indexed="63"/>
      </top>
      <bottom>
        <color indexed="63"/>
      </bottom>
    </border>
    <border>
      <left>
        <color indexed="63"/>
      </left>
      <right style="thin">
        <color rgb="FF0000FF"/>
      </right>
      <top style="dotted"/>
      <bottom style="dotted"/>
    </border>
    <border>
      <left>
        <color indexed="63"/>
      </left>
      <right style="thin">
        <color rgb="FF0000FF"/>
      </right>
      <top style="dotted"/>
      <bottom>
        <color indexed="63"/>
      </bottom>
    </border>
    <border>
      <left style="thin"/>
      <right style="thin">
        <color rgb="FF0000FF"/>
      </right>
      <top style="thin">
        <color rgb="FF0000FF"/>
      </top>
      <bottom>
        <color indexed="63"/>
      </bottom>
    </border>
    <border>
      <left style="thin"/>
      <right style="thin">
        <color rgb="FF0000FF"/>
      </right>
      <top>
        <color indexed="63"/>
      </top>
      <bottom>
        <color indexed="63"/>
      </bottom>
    </border>
    <border>
      <left style="thin"/>
      <right style="thin">
        <color rgb="FF0000FF"/>
      </right>
      <top style="dotted"/>
      <bottom style="dotted"/>
    </border>
    <border>
      <left style="thin"/>
      <right style="thin">
        <color rgb="FF0000FF"/>
      </right>
      <top style="dotted"/>
      <bottom style="thin">
        <color rgb="FFFF0000"/>
      </bottom>
    </border>
    <border>
      <left style="thin">
        <color rgb="FF0000FF"/>
      </left>
      <right style="thin">
        <color rgb="FF0000FF"/>
      </right>
      <top style="dotted"/>
      <bottom style="thin">
        <color rgb="FFFF0000"/>
      </bottom>
    </border>
    <border>
      <left>
        <color indexed="63"/>
      </left>
      <right style="dotted">
        <color rgb="FF0000FF"/>
      </right>
      <top style="dotted">
        <color rgb="FF0000FF"/>
      </top>
      <bottom style="dotted">
        <color rgb="FF0000FF"/>
      </bottom>
    </border>
    <border>
      <left>
        <color indexed="63"/>
      </left>
      <right>
        <color indexed="63"/>
      </right>
      <top style="dotted">
        <color rgb="FF0000FF"/>
      </top>
      <bottom style="dotted">
        <color rgb="FF0000FF"/>
      </bottom>
    </border>
    <border>
      <left style="dotted">
        <color rgb="FF0000FF"/>
      </left>
      <right>
        <color indexed="63"/>
      </right>
      <top style="dotted">
        <color rgb="FF0000FF"/>
      </top>
      <bottom style="dotted">
        <color rgb="FF0000FF"/>
      </bottom>
    </border>
    <border>
      <left style="thin">
        <color rgb="FF0000FF"/>
      </left>
      <right style="thin">
        <color rgb="FF0000FF"/>
      </right>
      <top>
        <color indexed="63"/>
      </top>
      <bottom style="thin">
        <color rgb="FF0000FF"/>
      </bottom>
    </border>
    <border>
      <left style="thin">
        <color rgb="FFFF0000"/>
      </left>
      <right style="thin">
        <color rgb="FF0000FF"/>
      </right>
      <top style="thin">
        <color rgb="FFFF0000"/>
      </top>
      <bottom style="thin">
        <color rgb="FFFF0000"/>
      </bottom>
    </border>
    <border>
      <left>
        <color indexed="63"/>
      </left>
      <right style="thin">
        <color indexed="55"/>
      </right>
      <top>
        <color indexed="63"/>
      </top>
      <bottom style="thick">
        <color rgb="FF0000FF"/>
      </bottom>
    </border>
    <border>
      <left>
        <color indexed="63"/>
      </left>
      <right>
        <color indexed="63"/>
      </right>
      <top>
        <color indexed="63"/>
      </top>
      <bottom style="thin">
        <color theme="1" tint="0.49998000264167786"/>
      </bottom>
    </border>
    <border>
      <left>
        <color indexed="63"/>
      </left>
      <right>
        <color indexed="63"/>
      </right>
      <top style="thin">
        <color theme="0" tint="-0.3499799966812134"/>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style="thin"/>
    </border>
    <border>
      <left style="thin">
        <color theme="1" tint="0.49998000264167786"/>
      </left>
      <right>
        <color indexed="63"/>
      </right>
      <top>
        <color indexed="63"/>
      </top>
      <bottom>
        <color indexed="63"/>
      </bottom>
    </border>
    <border>
      <left style="hair"/>
      <right style="hair"/>
      <top style="hair"/>
      <bottom style="hair"/>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thin"/>
      <top style="dotted"/>
      <bottom style="thin"/>
    </border>
    <border>
      <left style="dotted"/>
      <right style="dotted"/>
      <top style="dotted"/>
      <bottom style="dotted"/>
    </border>
    <border>
      <left style="dotted"/>
      <right style="dotted"/>
      <top style="dotted"/>
      <bottom style="thin"/>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0" tint="-0.3499799966812134"/>
      </left>
      <right>
        <color indexed="63"/>
      </right>
      <top style="thin">
        <color theme="0" tint="-0.3499799966812134"/>
      </top>
      <bottom>
        <color indexed="63"/>
      </bottom>
    </border>
    <border>
      <left>
        <color indexed="63"/>
      </left>
      <right style="thick">
        <color theme="0"/>
      </right>
      <top>
        <color indexed="63"/>
      </top>
      <bottom>
        <color indexed="63"/>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color indexed="63"/>
      </right>
      <top style="hair">
        <color theme="1" tint="0.49998000264167786"/>
      </top>
      <bottom style="hair">
        <color theme="1" tint="0.49998000264167786"/>
      </bottom>
    </border>
    <border>
      <left>
        <color indexed="63"/>
      </left>
      <right style="hair">
        <color theme="1" tint="0.49998000264167786"/>
      </right>
      <top style="hair">
        <color theme="1" tint="0.49998000264167786"/>
      </top>
      <bottom style="hair">
        <color theme="1" tint="0.49998000264167786"/>
      </bottom>
    </border>
    <border>
      <left style="hair">
        <color theme="1" tint="0.49998000264167786"/>
      </left>
      <right>
        <color indexed="63"/>
      </right>
      <top>
        <color indexed="63"/>
      </top>
      <bottom>
        <color indexed="63"/>
      </bottom>
    </border>
    <border>
      <left>
        <color indexed="63"/>
      </left>
      <right style="hair">
        <color theme="1" tint="0.49998000264167786"/>
      </right>
      <top>
        <color indexed="63"/>
      </top>
      <bottom>
        <color indexed="63"/>
      </bottom>
    </border>
    <border>
      <left>
        <color indexed="63"/>
      </left>
      <right style="thin">
        <color theme="1" tint="0.49998000264167786"/>
      </right>
      <top>
        <color indexed="63"/>
      </top>
      <bottom style="dotted">
        <color theme="1" tint="0.49998000264167786"/>
      </bottom>
    </border>
    <border>
      <left style="thin">
        <color theme="1" tint="0.49998000264167786"/>
      </left>
      <right>
        <color indexed="63"/>
      </right>
      <top>
        <color indexed="63"/>
      </top>
      <bottom style="dotted">
        <color theme="1" tint="0.49998000264167786"/>
      </bottom>
    </border>
    <border>
      <left>
        <color indexed="63"/>
      </left>
      <right>
        <color indexed="63"/>
      </right>
      <top>
        <color indexed="63"/>
      </top>
      <bottom style="dotted">
        <color theme="1" tint="0.49998000264167786"/>
      </bottom>
    </border>
    <border>
      <left>
        <color indexed="63"/>
      </left>
      <right style="thin">
        <color theme="1" tint="0.49998000264167786"/>
      </right>
      <top>
        <color indexed="63"/>
      </top>
      <bottom style="thick">
        <color theme="1" tint="0.49998000264167786"/>
      </bottom>
    </border>
    <border>
      <left style="thin">
        <color rgb="FF0000FF"/>
      </left>
      <right style="thin">
        <color rgb="FF0000FF"/>
      </right>
      <top style="thin"/>
      <bottom style="thin"/>
    </border>
    <border>
      <left style="hair">
        <color indexed="55"/>
      </left>
      <right>
        <color indexed="63"/>
      </right>
      <top>
        <color indexed="63"/>
      </top>
      <bottom style="thin">
        <color indexed="55"/>
      </bottom>
    </border>
    <border>
      <left style="thin"/>
      <right style="thin">
        <color rgb="FF0000FF"/>
      </right>
      <top style="dotted"/>
      <bottom style="thin">
        <color rgb="FF0000FF"/>
      </bottom>
    </border>
    <border>
      <left style="thin">
        <color rgb="FF0000FF"/>
      </left>
      <right style="thin">
        <color rgb="FF0000FF"/>
      </right>
      <top style="dotted"/>
      <bottom style="thin">
        <color rgb="FF0000FF"/>
      </bottom>
    </border>
    <border>
      <left style="thin">
        <color rgb="FF0000FF"/>
      </left>
      <right>
        <color indexed="63"/>
      </right>
      <top style="dashed"/>
      <bottom style="thin"/>
    </border>
    <border>
      <left>
        <color indexed="63"/>
      </left>
      <right>
        <color indexed="63"/>
      </right>
      <top style="dashed"/>
      <bottom style="thin"/>
    </border>
    <border>
      <left style="thin"/>
      <right style="thin"/>
      <top style="dashed"/>
      <bottom style="thin"/>
    </border>
    <border>
      <left style="medium">
        <color rgb="FF333333"/>
      </left>
      <right>
        <color indexed="63"/>
      </right>
      <top style="medium">
        <color rgb="FF333333"/>
      </top>
      <bottom>
        <color indexed="63"/>
      </bottom>
    </border>
    <border>
      <left>
        <color indexed="63"/>
      </left>
      <right>
        <color indexed="63"/>
      </right>
      <top style="medium">
        <color rgb="FF333333"/>
      </top>
      <bottom>
        <color indexed="63"/>
      </bottom>
    </border>
    <border>
      <left>
        <color indexed="63"/>
      </left>
      <right style="medium">
        <color rgb="FF333333"/>
      </right>
      <top style="medium">
        <color rgb="FF333333"/>
      </top>
      <bottom>
        <color indexed="63"/>
      </bottom>
    </border>
    <border>
      <left style="medium">
        <color rgb="FF333333"/>
      </left>
      <right>
        <color indexed="63"/>
      </right>
      <top>
        <color indexed="63"/>
      </top>
      <bottom>
        <color indexed="63"/>
      </bottom>
    </border>
    <border>
      <left>
        <color indexed="63"/>
      </left>
      <right style="medium">
        <color rgb="FF333333"/>
      </right>
      <top>
        <color indexed="63"/>
      </top>
      <bottom>
        <color indexed="63"/>
      </bottom>
    </border>
    <border>
      <left>
        <color indexed="63"/>
      </left>
      <right>
        <color indexed="63"/>
      </right>
      <top>
        <color indexed="63"/>
      </top>
      <bottom style="medium">
        <color rgb="FF333333"/>
      </bottom>
    </border>
    <border>
      <left>
        <color indexed="63"/>
      </left>
      <right style="medium">
        <color rgb="FF333333"/>
      </right>
      <top>
        <color indexed="63"/>
      </top>
      <bottom style="medium">
        <color rgb="FF333333"/>
      </bottom>
    </border>
    <border>
      <left>
        <color indexed="63"/>
      </left>
      <right>
        <color indexed="63"/>
      </right>
      <top style="hair">
        <color theme="1" tint="0.49998000264167786"/>
      </top>
      <bottom>
        <color indexed="63"/>
      </bottom>
    </border>
    <border>
      <left style="hair">
        <color theme="1" tint="0.49998000264167786"/>
      </left>
      <right>
        <color indexed="63"/>
      </right>
      <top>
        <color indexed="63"/>
      </top>
      <bottom style="hair">
        <color theme="1" tint="0.49998000264167786"/>
      </bottom>
    </border>
    <border>
      <left>
        <color indexed="63"/>
      </left>
      <right>
        <color indexed="63"/>
      </right>
      <top>
        <color indexed="63"/>
      </top>
      <bottom style="hair">
        <color theme="1" tint="0.49998000264167786"/>
      </bottom>
    </border>
    <border>
      <left style="hair">
        <color theme="1" tint="0.49998000264167786"/>
      </left>
      <right>
        <color indexed="63"/>
      </right>
      <top style="hair">
        <color theme="1" tint="0.49998000264167786"/>
      </top>
      <bottom>
        <color indexed="63"/>
      </bottom>
    </border>
    <border>
      <left>
        <color indexed="63"/>
      </left>
      <right style="hair">
        <color theme="1" tint="0.49998000264167786"/>
      </right>
      <top style="hair">
        <color theme="1" tint="0.49998000264167786"/>
      </top>
      <bottom>
        <color indexed="63"/>
      </bottom>
    </border>
    <border>
      <left>
        <color indexed="63"/>
      </left>
      <right style="hair">
        <color theme="1" tint="0.49998000264167786"/>
      </right>
      <top>
        <color indexed="63"/>
      </top>
      <bottom style="hair">
        <color theme="1" tint="0.49998000264167786"/>
      </bottom>
    </border>
    <border>
      <left style="thin">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rgb="FF0000FF"/>
      </right>
      <top>
        <color indexed="63"/>
      </top>
      <bottom style="thick">
        <color rgb="FF0000FF"/>
      </bottom>
    </border>
    <border>
      <left>
        <color indexed="63"/>
      </left>
      <right>
        <color indexed="63"/>
      </right>
      <top>
        <color indexed="63"/>
      </top>
      <bottom style="thick">
        <color rgb="FF0000FF"/>
      </bottom>
    </border>
    <border>
      <left style="thick">
        <color rgb="FF0000FF"/>
      </left>
      <right>
        <color indexed="63"/>
      </right>
      <top>
        <color indexed="63"/>
      </top>
      <bottom style="thick">
        <color rgb="FF0000FF"/>
      </bottom>
    </border>
    <border>
      <left>
        <color indexed="63"/>
      </left>
      <right style="thick">
        <color rgb="FF0000FF"/>
      </right>
      <top>
        <color indexed="63"/>
      </top>
      <bottom>
        <color indexed="63"/>
      </bottom>
    </border>
    <border>
      <left style="thick">
        <color rgb="FF0000FF"/>
      </left>
      <right>
        <color indexed="63"/>
      </right>
      <top>
        <color indexed="63"/>
      </top>
      <bottom>
        <color indexed="63"/>
      </bottom>
    </border>
    <border>
      <left>
        <color indexed="63"/>
      </left>
      <right style="thick">
        <color rgb="FF0000FF"/>
      </right>
      <top style="thick">
        <color rgb="FF0000FF"/>
      </top>
      <bottom>
        <color indexed="63"/>
      </bottom>
    </border>
    <border>
      <left>
        <color indexed="63"/>
      </left>
      <right>
        <color indexed="63"/>
      </right>
      <top style="thick">
        <color rgb="FF0000FF"/>
      </top>
      <bottom>
        <color indexed="63"/>
      </bottom>
    </border>
    <border>
      <left style="thick">
        <color rgb="FF0000FF"/>
      </left>
      <right>
        <color indexed="63"/>
      </right>
      <top style="thick">
        <color rgb="FF0000FF"/>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ck">
        <color theme="0"/>
      </left>
      <right>
        <color indexed="63"/>
      </right>
      <top style="thick">
        <color theme="0"/>
      </top>
      <bottom>
        <color indexed="63"/>
      </bottom>
    </border>
    <border>
      <left>
        <color indexed="63"/>
      </left>
      <right style="thick">
        <color theme="0"/>
      </right>
      <top style="thick">
        <color theme="0"/>
      </top>
      <bottom>
        <color indexed="63"/>
      </bottom>
    </border>
    <border>
      <left style="thick">
        <color theme="0"/>
      </left>
      <right>
        <color indexed="63"/>
      </right>
      <top>
        <color indexed="63"/>
      </top>
      <bottom>
        <color indexed="63"/>
      </bottom>
    </border>
    <border>
      <left style="thick">
        <color theme="0"/>
      </left>
      <right>
        <color indexed="63"/>
      </right>
      <top>
        <color indexed="63"/>
      </top>
      <bottom style="thick">
        <color theme="0"/>
      </bottom>
    </border>
    <border>
      <left>
        <color indexed="63"/>
      </left>
      <right style="thick">
        <color theme="0"/>
      </right>
      <top>
        <color indexed="63"/>
      </top>
      <bottom style="thick">
        <color theme="0"/>
      </bottom>
    </border>
    <border>
      <left style="hair">
        <color theme="1" tint="0.49998000264167786"/>
      </left>
      <right style="hair">
        <color theme="1" tint="0.49998000264167786"/>
      </right>
      <top style="hair">
        <color theme="1" tint="0.49998000264167786"/>
      </top>
      <bottom>
        <color indexed="63"/>
      </bottom>
    </border>
    <border>
      <left style="hair">
        <color theme="1" tint="0.49998000264167786"/>
      </left>
      <right style="hair">
        <color theme="1" tint="0.49998000264167786"/>
      </right>
      <top>
        <color indexed="63"/>
      </top>
      <bottom>
        <color indexed="63"/>
      </bottom>
    </border>
    <border>
      <left style="hair">
        <color theme="1" tint="0.49998000264167786"/>
      </left>
      <right style="hair">
        <color theme="1" tint="0.49998000264167786"/>
      </right>
      <top>
        <color indexed="63"/>
      </top>
      <bottom style="hair">
        <color theme="1" tint="0.49998000264167786"/>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style="thin">
        <color theme="1" tint="0.49998000264167786"/>
      </right>
      <top>
        <color indexed="63"/>
      </top>
      <bottom style="thin">
        <color theme="1" tint="0.49998000264167786"/>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style="thin">
        <color theme="1" tint="0.49998000264167786"/>
      </bottom>
    </border>
    <border>
      <left>
        <color indexed="63"/>
      </left>
      <right style="thick">
        <color theme="1" tint="0.49998000264167786"/>
      </right>
      <top>
        <color indexed="63"/>
      </top>
      <bottom style="thin">
        <color theme="1" tint="0.49998000264167786"/>
      </bottom>
    </border>
    <border>
      <left style="thick">
        <color theme="1" tint="0.49998000264167786"/>
      </left>
      <right>
        <color indexed="63"/>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style="thick">
        <color theme="1" tint="0.49998000264167786"/>
      </right>
      <top>
        <color indexed="63"/>
      </top>
      <bottom>
        <color indexed="63"/>
      </bottom>
    </border>
    <border>
      <left>
        <color indexed="63"/>
      </left>
      <right style="thick">
        <color theme="1" tint="0.49998000264167786"/>
      </right>
      <top>
        <color indexed="63"/>
      </top>
      <bottom style="thick">
        <color theme="1" tint="0.49998000264167786"/>
      </bottom>
    </border>
    <border>
      <left style="thin">
        <color theme="1" tint="0.49998000264167786"/>
      </left>
      <right>
        <color indexed="63"/>
      </right>
      <top style="dotted">
        <color theme="1" tint="0.49998000264167786"/>
      </top>
      <bottom>
        <color indexed="63"/>
      </bottom>
    </border>
    <border>
      <left>
        <color indexed="63"/>
      </left>
      <right>
        <color indexed="63"/>
      </right>
      <top style="dotted">
        <color theme="1" tint="0.49998000264167786"/>
      </top>
      <bottom>
        <color indexed="63"/>
      </bottom>
    </border>
    <border>
      <left>
        <color indexed="63"/>
      </left>
      <right style="thick">
        <color theme="1" tint="0.49998000264167786"/>
      </right>
      <top style="dotted">
        <color theme="1" tint="0.49998000264167786"/>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medium">
        <color rgb="FF0000FF"/>
      </left>
      <right>
        <color indexed="63"/>
      </right>
      <top style="medium">
        <color rgb="FF0000FF"/>
      </top>
      <bottom style="medium">
        <color rgb="FF0000FF"/>
      </bottom>
    </border>
    <border>
      <left>
        <color indexed="63"/>
      </left>
      <right>
        <color indexed="63"/>
      </right>
      <top style="medium">
        <color rgb="FF0000FF"/>
      </top>
      <bottom style="medium">
        <color rgb="FF0000FF"/>
      </bottom>
    </border>
    <border>
      <left>
        <color indexed="63"/>
      </left>
      <right style="medium">
        <color rgb="FF0000FF"/>
      </right>
      <top style="medium">
        <color rgb="FF0000FF"/>
      </top>
      <bottom style="medium">
        <color rgb="FF0000FF"/>
      </bottom>
    </border>
    <border>
      <left style="thin"/>
      <right style="thin"/>
      <top style="thin"/>
      <bottom>
        <color indexed="63"/>
      </bottom>
    </border>
    <border>
      <left style="thin"/>
      <right style="thin"/>
      <top>
        <color indexed="63"/>
      </top>
      <bottom style="thin"/>
    </border>
    <border>
      <left style="hair">
        <color theme="1" tint="0.49998000264167786"/>
      </left>
      <right>
        <color indexed="63"/>
      </right>
      <top>
        <color indexed="63"/>
      </top>
      <bottom style="thin">
        <color theme="1" tint="0.49998000264167786"/>
      </bottom>
    </border>
    <border>
      <left>
        <color indexed="63"/>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color indexed="63"/>
      </left>
      <right style="hair">
        <color theme="1" tint="0.49998000264167786"/>
      </right>
      <top>
        <color indexed="63"/>
      </top>
      <bottom style="thin">
        <color theme="1" tint="0.49998000264167786"/>
      </bottom>
    </border>
    <border>
      <left style="thin"/>
      <right>
        <color indexed="63"/>
      </right>
      <top style="thick">
        <color indexed="12"/>
      </top>
      <bottom style="thin"/>
    </border>
    <border>
      <left>
        <color indexed="63"/>
      </left>
      <right>
        <color indexed="63"/>
      </right>
      <top style="thick">
        <color indexed="12"/>
      </top>
      <bottom style="thin"/>
    </border>
    <border>
      <left>
        <color indexed="63"/>
      </left>
      <right style="thin"/>
      <top style="thick">
        <color indexed="12"/>
      </top>
      <bottom style="thin"/>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thin">
        <color rgb="FF0000FF"/>
      </left>
      <right>
        <color indexed="63"/>
      </right>
      <top>
        <color indexed="63"/>
      </top>
      <bottom style="thin"/>
    </border>
    <border>
      <left>
        <color indexed="63"/>
      </left>
      <right style="thin">
        <color rgb="FF0000FF"/>
      </right>
      <top>
        <color indexed="63"/>
      </top>
      <bottom style="thin"/>
    </border>
    <border>
      <left>
        <color indexed="63"/>
      </left>
      <right>
        <color indexed="63"/>
      </right>
      <top>
        <color indexed="63"/>
      </top>
      <bottom style="dotted"/>
    </border>
    <border>
      <left>
        <color indexed="63"/>
      </left>
      <right style="thin"/>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1" applyNumberFormat="0" applyAlignment="0" applyProtection="0"/>
    <xf numFmtId="0" fontId="130"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131" fillId="27" borderId="2" applyNumberFormat="0" applyAlignment="0" applyProtection="0"/>
    <xf numFmtId="0" fontId="132" fillId="0" borderId="3" applyNumberFormat="0" applyFill="0" applyAlignment="0" applyProtection="0"/>
    <xf numFmtId="0" fontId="133" fillId="0" borderId="0" applyNumberFormat="0" applyFill="0" applyBorder="0" applyAlignment="0" applyProtection="0"/>
    <xf numFmtId="44" fontId="0" fillId="0" borderId="0" applyFont="0" applyFill="0" applyBorder="0" applyAlignment="0" applyProtection="0"/>
    <xf numFmtId="0" fontId="134" fillId="28" borderId="0" applyNumberFormat="0" applyBorder="0" applyAlignment="0" applyProtection="0"/>
    <xf numFmtId="0" fontId="0" fillId="29" borderId="0">
      <alignment/>
      <protection/>
    </xf>
    <xf numFmtId="0" fontId="1" fillId="0" borderId="0" applyNumberFormat="0" applyFill="0" applyBorder="0" applyAlignment="0" applyProtection="0"/>
    <xf numFmtId="43" fontId="0" fillId="0" borderId="0" applyFont="0" applyFill="0" applyBorder="0" applyAlignment="0" applyProtection="0"/>
    <xf numFmtId="0" fontId="1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136" fillId="32" borderId="0" applyNumberFormat="0" applyBorder="0" applyAlignment="0" applyProtection="0"/>
    <xf numFmtId="0" fontId="0" fillId="0" borderId="0">
      <alignment/>
      <protection/>
    </xf>
    <xf numFmtId="0" fontId="137" fillId="0" borderId="0" applyNumberForma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2" fillId="0" borderId="0" applyNumberFormat="0" applyFill="0" applyBorder="0" applyAlignment="0" applyProtection="0"/>
    <xf numFmtId="0" fontId="143" fillId="33" borderId="9" applyNumberFormat="0" applyAlignment="0" applyProtection="0"/>
  </cellStyleXfs>
  <cellXfs count="1435">
    <xf numFmtId="0" fontId="0" fillId="0" borderId="0" xfId="0" applyAlignment="1">
      <alignment/>
    </xf>
    <xf numFmtId="0" fontId="0" fillId="0" borderId="0" xfId="0" applyFont="1" applyAlignment="1">
      <alignment/>
    </xf>
    <xf numFmtId="0" fontId="10" fillId="34" borderId="10" xfId="0" applyFont="1" applyFill="1" applyBorder="1" applyAlignment="1" applyProtection="1">
      <alignment vertical="center"/>
      <protection/>
    </xf>
    <xf numFmtId="0" fontId="10" fillId="34" borderId="11" xfId="0" applyFont="1" applyFill="1" applyBorder="1" applyAlignment="1" applyProtection="1">
      <alignment vertical="center"/>
      <protection/>
    </xf>
    <xf numFmtId="0" fontId="0" fillId="34" borderId="0" xfId="0" applyFont="1" applyFill="1" applyBorder="1" applyAlignment="1" applyProtection="1">
      <alignment vertical="center"/>
      <protection/>
    </xf>
    <xf numFmtId="49" fontId="0" fillId="34" borderId="12" xfId="0" applyNumberFormat="1" applyFont="1" applyFill="1" applyBorder="1" applyAlignment="1" applyProtection="1">
      <alignment horizontal="left"/>
      <protection/>
    </xf>
    <xf numFmtId="49" fontId="0" fillId="34" borderId="13" xfId="0" applyNumberFormat="1" applyFont="1" applyFill="1" applyBorder="1" applyAlignment="1" applyProtection="1">
      <alignment horizontal="left"/>
      <protection/>
    </xf>
    <xf numFmtId="0" fontId="0" fillId="0" borderId="0" xfId="0" applyFont="1" applyAlignment="1" applyProtection="1">
      <alignment vertical="center"/>
      <protection/>
    </xf>
    <xf numFmtId="0" fontId="0" fillId="34" borderId="11" xfId="0" applyFont="1" applyFill="1" applyBorder="1" applyAlignment="1" applyProtection="1">
      <alignment vertical="center"/>
      <protection/>
    </xf>
    <xf numFmtId="0" fontId="0" fillId="34" borderId="14" xfId="0" applyFont="1" applyFill="1" applyBorder="1" applyAlignment="1" applyProtection="1">
      <alignment vertical="center"/>
      <protection/>
    </xf>
    <xf numFmtId="164" fontId="0" fillId="34" borderId="15"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0" fontId="11" fillId="35" borderId="0" xfId="0" applyFont="1" applyFill="1" applyAlignment="1" applyProtection="1">
      <alignment vertical="center"/>
      <protection/>
    </xf>
    <xf numFmtId="0" fontId="13" fillId="35" borderId="0" xfId="0" applyFont="1" applyFill="1" applyAlignment="1" applyProtection="1">
      <alignment vertical="center"/>
      <protection/>
    </xf>
    <xf numFmtId="164" fontId="0" fillId="34" borderId="16" xfId="0" applyNumberFormat="1" applyFont="1" applyFill="1" applyBorder="1" applyAlignment="1" applyProtection="1">
      <alignment horizontal="center" vertical="center"/>
      <protection/>
    </xf>
    <xf numFmtId="164" fontId="0" fillId="34" borderId="17" xfId="0" applyNumberFormat="1" applyFont="1" applyFill="1" applyBorder="1" applyAlignment="1" applyProtection="1">
      <alignment horizontal="center" vertical="center"/>
      <protection/>
    </xf>
    <xf numFmtId="164" fontId="0" fillId="34" borderId="18" xfId="0" applyNumberFormat="1" applyFont="1" applyFill="1" applyBorder="1" applyAlignment="1" applyProtection="1">
      <alignment horizontal="center" vertical="center"/>
      <protection/>
    </xf>
    <xf numFmtId="0" fontId="11" fillId="35" borderId="0" xfId="0" applyFont="1" applyFill="1" applyAlignment="1" applyProtection="1">
      <alignment vertical="center" wrapText="1"/>
      <protection/>
    </xf>
    <xf numFmtId="0" fontId="0" fillId="34" borderId="14"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9" fillId="35" borderId="0" xfId="0" applyFont="1" applyFill="1" applyAlignment="1" applyProtection="1">
      <alignment vertical="center"/>
      <protection/>
    </xf>
    <xf numFmtId="49" fontId="0" fillId="34" borderId="19" xfId="0" applyNumberFormat="1" applyFont="1" applyFill="1" applyBorder="1" applyAlignment="1" applyProtection="1">
      <alignment horizontal="left"/>
      <protection/>
    </xf>
    <xf numFmtId="49" fontId="0" fillId="34" borderId="20" xfId="0" applyNumberFormat="1" applyFont="1" applyFill="1" applyBorder="1" applyAlignment="1" applyProtection="1">
      <alignment horizontal="left"/>
      <protection/>
    </xf>
    <xf numFmtId="0" fontId="13" fillId="34" borderId="0" xfId="0" applyFont="1" applyFill="1" applyBorder="1" applyAlignment="1" applyProtection="1">
      <alignment vertical="center"/>
      <protection/>
    </xf>
    <xf numFmtId="164" fontId="0" fillId="34" borderId="21" xfId="0" applyNumberFormat="1" applyFont="1" applyFill="1" applyBorder="1" applyAlignment="1" applyProtection="1">
      <alignment vertical="center"/>
      <protection/>
    </xf>
    <xf numFmtId="164" fontId="0" fillId="34" borderId="22" xfId="0" applyNumberFormat="1" applyFont="1" applyFill="1" applyBorder="1" applyAlignment="1" applyProtection="1">
      <alignment vertical="center"/>
      <protection/>
    </xf>
    <xf numFmtId="172" fontId="18" fillId="36" borderId="23" xfId="0" applyNumberFormat="1" applyFont="1" applyFill="1" applyBorder="1" applyAlignment="1" applyProtection="1">
      <alignment horizontal="center" vertical="center" shrinkToFit="1"/>
      <protection/>
    </xf>
    <xf numFmtId="164" fontId="0" fillId="34" borderId="24" xfId="0" applyNumberFormat="1" applyFont="1" applyFill="1" applyBorder="1" applyAlignment="1" applyProtection="1">
      <alignment horizontal="center" vertical="center"/>
      <protection/>
    </xf>
    <xf numFmtId="172" fontId="18" fillId="37" borderId="23" xfId="0" applyNumberFormat="1" applyFont="1" applyFill="1" applyBorder="1" applyAlignment="1" applyProtection="1">
      <alignment horizontal="center" vertical="center" shrinkToFit="1"/>
      <protection/>
    </xf>
    <xf numFmtId="0" fontId="0" fillId="34" borderId="25" xfId="0" applyFont="1" applyFill="1" applyBorder="1" applyAlignment="1" applyProtection="1">
      <alignment vertical="center" wrapText="1"/>
      <protection/>
    </xf>
    <xf numFmtId="0" fontId="0" fillId="34" borderId="26" xfId="0" applyFont="1" applyFill="1" applyBorder="1" applyAlignment="1" applyProtection="1">
      <alignment vertical="center" wrapText="1"/>
      <protection/>
    </xf>
    <xf numFmtId="0" fontId="0" fillId="34" borderId="27"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164" fontId="0" fillId="34" borderId="29" xfId="0" applyNumberFormat="1" applyFont="1" applyFill="1" applyBorder="1" applyAlignment="1" applyProtection="1">
      <alignment horizontal="center" vertical="center"/>
      <protection/>
    </xf>
    <xf numFmtId="164" fontId="0" fillId="34" borderId="30" xfId="0" applyNumberFormat="1" applyFont="1" applyFill="1" applyBorder="1" applyAlignment="1" applyProtection="1">
      <alignment horizontal="center" vertical="center"/>
      <protection/>
    </xf>
    <xf numFmtId="178" fontId="18" fillId="36" borderId="31" xfId="0" applyNumberFormat="1" applyFont="1" applyFill="1" applyBorder="1" applyAlignment="1" applyProtection="1">
      <alignment horizontal="center" vertical="center" shrinkToFit="1"/>
      <protection/>
    </xf>
    <xf numFmtId="179" fontId="18" fillId="36" borderId="31" xfId="0" applyNumberFormat="1" applyFont="1" applyFill="1" applyBorder="1" applyAlignment="1" applyProtection="1">
      <alignment horizontal="center" vertical="center" shrinkToFit="1"/>
      <protection/>
    </xf>
    <xf numFmtId="180" fontId="18" fillId="36" borderId="31" xfId="0" applyNumberFormat="1" applyFont="1" applyFill="1" applyBorder="1" applyAlignment="1" applyProtection="1">
      <alignment horizontal="center" vertical="center" shrinkToFit="1"/>
      <protection/>
    </xf>
    <xf numFmtId="49" fontId="0" fillId="34" borderId="32" xfId="0" applyNumberFormat="1" applyFont="1" applyFill="1" applyBorder="1" applyAlignment="1" applyProtection="1">
      <alignment horizontal="left"/>
      <protection/>
    </xf>
    <xf numFmtId="49" fontId="0" fillId="34" borderId="33" xfId="0" applyNumberFormat="1" applyFont="1" applyFill="1" applyBorder="1" applyAlignment="1" applyProtection="1">
      <alignment horizontal="left"/>
      <protection/>
    </xf>
    <xf numFmtId="164" fontId="0" fillId="34" borderId="34" xfId="0" applyNumberFormat="1" applyFont="1" applyFill="1" applyBorder="1" applyAlignment="1" applyProtection="1">
      <alignment horizontal="center" vertical="center"/>
      <protection/>
    </xf>
    <xf numFmtId="172" fontId="18" fillId="37" borderId="35" xfId="0" applyNumberFormat="1" applyFont="1" applyFill="1" applyBorder="1" applyAlignment="1" applyProtection="1">
      <alignment horizontal="center" vertical="center" shrinkToFit="1"/>
      <protection/>
    </xf>
    <xf numFmtId="164" fontId="0" fillId="34" borderId="36" xfId="0" applyNumberFormat="1" applyFont="1" applyFill="1" applyBorder="1" applyAlignment="1" applyProtection="1">
      <alignment horizontal="center" vertical="center"/>
      <protection/>
    </xf>
    <xf numFmtId="177" fontId="18" fillId="37" borderId="37" xfId="0" applyNumberFormat="1" applyFont="1" applyFill="1" applyBorder="1" applyAlignment="1" applyProtection="1">
      <alignment horizontal="center" vertical="center" shrinkToFit="1"/>
      <protection/>
    </xf>
    <xf numFmtId="49" fontId="0" fillId="34" borderId="38" xfId="0" applyNumberFormat="1" applyFont="1" applyFill="1" applyBorder="1" applyAlignment="1" applyProtection="1">
      <alignment horizontal="left"/>
      <protection/>
    </xf>
    <xf numFmtId="49" fontId="0" fillId="34" borderId="39" xfId="0" applyNumberFormat="1" applyFont="1" applyFill="1" applyBorder="1" applyAlignment="1" applyProtection="1">
      <alignment horizontal="left"/>
      <protection/>
    </xf>
    <xf numFmtId="164" fontId="0" fillId="34" borderId="40" xfId="0" applyNumberFormat="1" applyFont="1" applyFill="1" applyBorder="1" applyAlignment="1" applyProtection="1">
      <alignment horizontal="center" vertical="center"/>
      <protection/>
    </xf>
    <xf numFmtId="172" fontId="18" fillId="36" borderId="41" xfId="0" applyNumberFormat="1" applyFont="1" applyFill="1" applyBorder="1" applyAlignment="1" applyProtection="1">
      <alignment horizontal="center" vertical="center" shrinkToFit="1"/>
      <protection/>
    </xf>
    <xf numFmtId="164" fontId="0" fillId="34" borderId="42" xfId="0" applyNumberFormat="1" applyFont="1" applyFill="1" applyBorder="1" applyAlignment="1" applyProtection="1">
      <alignment horizontal="center" vertical="center"/>
      <protection/>
    </xf>
    <xf numFmtId="178" fontId="18" fillId="36" borderId="43" xfId="0" applyNumberFormat="1" applyFont="1" applyFill="1" applyBorder="1" applyAlignment="1" applyProtection="1">
      <alignment horizontal="center" vertical="center" shrinkToFit="1"/>
      <protection/>
    </xf>
    <xf numFmtId="179" fontId="18" fillId="36" borderId="43" xfId="0" applyNumberFormat="1" applyFont="1" applyFill="1" applyBorder="1" applyAlignment="1" applyProtection="1">
      <alignment horizontal="center" vertical="center" shrinkToFit="1"/>
      <protection/>
    </xf>
    <xf numFmtId="180" fontId="18" fillId="36" borderId="43" xfId="0" applyNumberFormat="1" applyFont="1" applyFill="1" applyBorder="1" applyAlignment="1" applyProtection="1">
      <alignment horizontal="center" vertical="center" shrinkToFit="1"/>
      <protection/>
    </xf>
    <xf numFmtId="164" fontId="0" fillId="34" borderId="44" xfId="0" applyNumberFormat="1"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45" xfId="0" applyFont="1" applyFill="1" applyBorder="1" applyAlignment="1" applyProtection="1">
      <alignment vertical="center"/>
      <protection/>
    </xf>
    <xf numFmtId="0" fontId="0" fillId="34" borderId="46" xfId="0" applyFont="1" applyFill="1" applyBorder="1" applyAlignment="1" applyProtection="1">
      <alignment vertical="center"/>
      <protection/>
    </xf>
    <xf numFmtId="0" fontId="11" fillId="34" borderId="0" xfId="0" applyFont="1" applyFill="1" applyAlignment="1" applyProtection="1">
      <alignment vertical="center" wrapText="1"/>
      <protection/>
    </xf>
    <xf numFmtId="0" fontId="11" fillId="34" borderId="11" xfId="0" applyFont="1" applyFill="1" applyBorder="1" applyAlignment="1" applyProtection="1">
      <alignment vertical="center"/>
      <protection/>
    </xf>
    <xf numFmtId="0" fontId="11" fillId="34" borderId="37" xfId="0" applyFont="1" applyFill="1" applyBorder="1" applyAlignment="1" applyProtection="1">
      <alignment vertical="center"/>
      <protection/>
    </xf>
    <xf numFmtId="0" fontId="11" fillId="34" borderId="26" xfId="0" applyFont="1" applyFill="1" applyBorder="1" applyAlignment="1" applyProtection="1">
      <alignment vertical="center" wrapText="1"/>
      <protection/>
    </xf>
    <xf numFmtId="0" fontId="0" fillId="34" borderId="27" xfId="0" applyFont="1" applyFill="1" applyBorder="1" applyAlignment="1" applyProtection="1">
      <alignment horizontal="right" vertical="center"/>
      <protection/>
    </xf>
    <xf numFmtId="164" fontId="0" fillId="34" borderId="47" xfId="0" applyNumberFormat="1" applyFont="1" applyFill="1" applyBorder="1" applyAlignment="1" applyProtection="1">
      <alignment horizontal="center" vertical="center"/>
      <protection/>
    </xf>
    <xf numFmtId="164" fontId="0" fillId="34" borderId="48" xfId="0" applyNumberFormat="1" applyFont="1" applyFill="1" applyBorder="1" applyAlignment="1" applyProtection="1">
      <alignment horizontal="center" vertical="center"/>
      <protection/>
    </xf>
    <xf numFmtId="164" fontId="0" fillId="34" borderId="19" xfId="0" applyNumberFormat="1" applyFont="1" applyFill="1" applyBorder="1" applyAlignment="1" applyProtection="1">
      <alignment horizontal="center" vertical="center"/>
      <protection/>
    </xf>
    <xf numFmtId="164" fontId="0" fillId="34" borderId="20" xfId="0" applyNumberFormat="1" applyFont="1" applyFill="1" applyBorder="1" applyAlignment="1" applyProtection="1">
      <alignment horizontal="center" vertical="center"/>
      <protection/>
    </xf>
    <xf numFmtId="0" fontId="0" fillId="34" borderId="31"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43" xfId="0" applyFont="1" applyFill="1" applyBorder="1" applyAlignment="1" applyProtection="1">
      <alignment vertical="center"/>
      <protection/>
    </xf>
    <xf numFmtId="0" fontId="0" fillId="34" borderId="49" xfId="0" applyFont="1" applyFill="1" applyBorder="1" applyAlignment="1" applyProtection="1">
      <alignment vertical="center"/>
      <protection/>
    </xf>
    <xf numFmtId="0" fontId="0" fillId="38" borderId="50" xfId="0" applyFont="1" applyFill="1" applyBorder="1" applyAlignment="1" applyProtection="1">
      <alignment vertical="center"/>
      <protection/>
    </xf>
    <xf numFmtId="0" fontId="0" fillId="38" borderId="51" xfId="0" applyFont="1" applyFill="1" applyBorder="1" applyAlignment="1" applyProtection="1">
      <alignment vertical="center"/>
      <protection/>
    </xf>
    <xf numFmtId="0" fontId="0" fillId="38" borderId="52" xfId="0" applyFont="1" applyFill="1" applyBorder="1" applyAlignment="1" applyProtection="1">
      <alignment vertical="center"/>
      <protection/>
    </xf>
    <xf numFmtId="0" fontId="0" fillId="38" borderId="53" xfId="0" applyFont="1" applyFill="1" applyBorder="1" applyAlignment="1" applyProtection="1">
      <alignment vertical="center"/>
      <protection/>
    </xf>
    <xf numFmtId="0" fontId="0" fillId="38" borderId="0" xfId="0" applyFont="1" applyFill="1" applyBorder="1" applyAlignment="1" applyProtection="1">
      <alignment vertical="center"/>
      <protection/>
    </xf>
    <xf numFmtId="0" fontId="0" fillId="38" borderId="54" xfId="0" applyFont="1" applyFill="1" applyBorder="1" applyAlignment="1" applyProtection="1">
      <alignment vertical="center"/>
      <protection/>
    </xf>
    <xf numFmtId="0" fontId="0" fillId="38" borderId="55" xfId="0" applyFont="1" applyFill="1" applyBorder="1" applyAlignment="1" applyProtection="1">
      <alignment vertical="center"/>
      <protection/>
    </xf>
    <xf numFmtId="0" fontId="0" fillId="38" borderId="49" xfId="0" applyFont="1" applyFill="1" applyBorder="1" applyAlignment="1" applyProtection="1">
      <alignment vertical="center"/>
      <protection/>
    </xf>
    <xf numFmtId="0" fontId="0" fillId="38" borderId="56" xfId="0"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57" xfId="0" applyFont="1" applyFill="1" applyBorder="1" applyAlignment="1" applyProtection="1">
      <alignment vertical="center"/>
      <protection/>
    </xf>
    <xf numFmtId="0" fontId="0" fillId="38" borderId="58" xfId="0" applyFont="1" applyFill="1" applyBorder="1" applyAlignment="1" applyProtection="1">
      <alignment vertical="center"/>
      <protection/>
    </xf>
    <xf numFmtId="0" fontId="0" fillId="38" borderId="59" xfId="0" applyFont="1" applyFill="1" applyBorder="1" applyAlignment="1" applyProtection="1">
      <alignment vertical="center"/>
      <protection/>
    </xf>
    <xf numFmtId="0" fontId="0" fillId="38" borderId="3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187" fontId="11" fillId="34" borderId="25" xfId="0" applyNumberFormat="1" applyFont="1" applyFill="1" applyBorder="1" applyAlignment="1" applyProtection="1">
      <alignment vertical="center" shrinkToFit="1"/>
      <protection/>
    </xf>
    <xf numFmtId="187" fontId="11" fillId="34" borderId="26" xfId="0" applyNumberFormat="1" applyFont="1" applyFill="1" applyBorder="1" applyAlignment="1" applyProtection="1">
      <alignment vertical="center" shrinkToFit="1"/>
      <protection/>
    </xf>
    <xf numFmtId="164" fontId="0" fillId="38" borderId="52" xfId="0" applyNumberFormat="1" applyFont="1" applyFill="1" applyBorder="1" applyAlignment="1" applyProtection="1">
      <alignment horizontal="center" vertical="center"/>
      <protection/>
    </xf>
    <xf numFmtId="164" fontId="0" fillId="38" borderId="54" xfId="0" applyNumberFormat="1" applyFont="1" applyFill="1" applyBorder="1" applyAlignment="1" applyProtection="1">
      <alignment horizontal="center" vertical="center"/>
      <protection/>
    </xf>
    <xf numFmtId="164" fontId="0" fillId="38" borderId="56" xfId="0" applyNumberFormat="1" applyFont="1" applyFill="1" applyBorder="1" applyAlignment="1" applyProtection="1">
      <alignment horizontal="center" vertical="center"/>
      <protection/>
    </xf>
    <xf numFmtId="9" fontId="0" fillId="34" borderId="29" xfId="0" applyNumberFormat="1" applyFont="1" applyFill="1" applyBorder="1" applyAlignment="1" applyProtection="1">
      <alignment horizontal="center" vertical="center"/>
      <protection/>
    </xf>
    <xf numFmtId="0" fontId="11" fillId="34" borderId="60" xfId="0" applyFont="1" applyFill="1" applyBorder="1" applyAlignment="1" applyProtection="1">
      <alignment vertical="center" wrapText="1"/>
      <protection/>
    </xf>
    <xf numFmtId="0" fontId="11" fillId="34" borderId="61" xfId="0" applyFont="1" applyFill="1" applyBorder="1" applyAlignment="1" applyProtection="1">
      <alignment vertical="center" wrapText="1"/>
      <protection/>
    </xf>
    <xf numFmtId="0" fontId="0" fillId="38" borderId="26" xfId="0" applyFont="1" applyFill="1" applyBorder="1" applyAlignment="1" applyProtection="1">
      <alignment vertical="center"/>
      <protection/>
    </xf>
    <xf numFmtId="164" fontId="0" fillId="34" borderId="31" xfId="0" applyNumberFormat="1" applyFont="1" applyFill="1" applyBorder="1" applyAlignment="1" applyProtection="1">
      <alignment horizontal="center" vertical="center"/>
      <protection/>
    </xf>
    <xf numFmtId="191" fontId="0" fillId="34" borderId="29" xfId="0" applyNumberFormat="1" applyFont="1" applyFill="1" applyBorder="1" applyAlignment="1" applyProtection="1">
      <alignment horizontal="center" vertical="center"/>
      <protection/>
    </xf>
    <xf numFmtId="164" fontId="0" fillId="34" borderId="43" xfId="0" applyNumberFormat="1" applyFont="1" applyFill="1" applyBorder="1" applyAlignment="1" applyProtection="1">
      <alignment horizontal="center" vertical="center"/>
      <protection/>
    </xf>
    <xf numFmtId="191" fontId="0" fillId="34" borderId="44"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13"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13" fillId="39" borderId="50" xfId="0" applyFont="1" applyFill="1" applyBorder="1" applyAlignment="1" applyProtection="1">
      <alignment/>
      <protection/>
    </xf>
    <xf numFmtId="0" fontId="0" fillId="39" borderId="51" xfId="0" applyFill="1" applyBorder="1" applyAlignment="1" applyProtection="1">
      <alignment/>
      <protection/>
    </xf>
    <xf numFmtId="0" fontId="0" fillId="39" borderId="52" xfId="0" applyFill="1" applyBorder="1" applyAlignment="1" applyProtection="1">
      <alignment/>
      <protection/>
    </xf>
    <xf numFmtId="0" fontId="13" fillId="39" borderId="53"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39" borderId="54" xfId="0" applyFill="1" applyBorder="1" applyAlignment="1" applyProtection="1">
      <alignment/>
      <protection/>
    </xf>
    <xf numFmtId="0" fontId="4" fillId="0" borderId="0" xfId="0" applyFont="1" applyFill="1" applyBorder="1" applyAlignment="1" applyProtection="1">
      <alignment vertical="center"/>
      <protection/>
    </xf>
    <xf numFmtId="0" fontId="0" fillId="39" borderId="0" xfId="0" applyFill="1" applyBorder="1" applyAlignment="1" applyProtection="1">
      <alignment/>
      <protection/>
    </xf>
    <xf numFmtId="0" fontId="13" fillId="40" borderId="53" xfId="0" applyFont="1" applyFill="1" applyBorder="1" applyAlignment="1" applyProtection="1">
      <alignment/>
      <protection/>
    </xf>
    <xf numFmtId="0" fontId="0" fillId="40" borderId="0" xfId="0" applyFill="1" applyBorder="1" applyAlignment="1" applyProtection="1">
      <alignment/>
      <protection/>
    </xf>
    <xf numFmtId="0" fontId="0" fillId="40" borderId="54" xfId="0" applyFill="1" applyBorder="1" applyAlignment="1" applyProtection="1">
      <alignment/>
      <protection/>
    </xf>
    <xf numFmtId="0" fontId="0" fillId="40" borderId="0" xfId="0" applyFill="1" applyBorder="1" applyAlignment="1" applyProtection="1">
      <alignment horizontal="center"/>
      <protection/>
    </xf>
    <xf numFmtId="0" fontId="24" fillId="40" borderId="0" xfId="0" applyFont="1" applyFill="1" applyBorder="1" applyAlignment="1" applyProtection="1">
      <alignment/>
      <protection/>
    </xf>
    <xf numFmtId="0" fontId="0" fillId="40" borderId="0" xfId="0" applyFill="1" applyBorder="1" applyAlignment="1" applyProtection="1">
      <alignment/>
      <protection/>
    </xf>
    <xf numFmtId="0" fontId="13" fillId="40" borderId="62" xfId="0" applyFont="1" applyFill="1" applyBorder="1" applyAlignment="1" applyProtection="1">
      <alignment/>
      <protection/>
    </xf>
    <xf numFmtId="0" fontId="0" fillId="0" borderId="63" xfId="0" applyFill="1" applyBorder="1" applyAlignment="1" applyProtection="1">
      <alignment/>
      <protection/>
    </xf>
    <xf numFmtId="0" fontId="0" fillId="40" borderId="63" xfId="0" applyFill="1" applyBorder="1" applyAlignment="1" applyProtection="1">
      <alignment horizontal="center"/>
      <protection/>
    </xf>
    <xf numFmtId="0" fontId="24" fillId="40" borderId="63" xfId="0" applyFont="1" applyFill="1" applyBorder="1" applyAlignment="1" applyProtection="1">
      <alignment/>
      <protection/>
    </xf>
    <xf numFmtId="0" fontId="0" fillId="40" borderId="63" xfId="0" applyFill="1" applyBorder="1" applyAlignment="1" applyProtection="1">
      <alignment/>
      <protection/>
    </xf>
    <xf numFmtId="0" fontId="0" fillId="40" borderId="64" xfId="0" applyFill="1" applyBorder="1" applyAlignment="1" applyProtection="1">
      <alignment/>
      <protection/>
    </xf>
    <xf numFmtId="0" fontId="4" fillId="0" borderId="0" xfId="0" applyFont="1" applyAlignment="1" applyProtection="1">
      <alignment/>
      <protection/>
    </xf>
    <xf numFmtId="0" fontId="4" fillId="40" borderId="0" xfId="0" applyFont="1" applyFill="1" applyBorder="1" applyAlignment="1" applyProtection="1">
      <alignment/>
      <protection/>
    </xf>
    <xf numFmtId="0" fontId="25" fillId="40" borderId="0" xfId="0" applyFont="1" applyFill="1" applyBorder="1" applyAlignment="1" applyProtection="1">
      <alignment/>
      <protection/>
    </xf>
    <xf numFmtId="0" fontId="4" fillId="40" borderId="54" xfId="0" applyFont="1" applyFill="1" applyBorder="1" applyAlignment="1" applyProtection="1">
      <alignment/>
      <protection/>
    </xf>
    <xf numFmtId="0" fontId="13" fillId="0" borderId="53" xfId="0" applyFont="1" applyBorder="1" applyAlignment="1" applyProtection="1">
      <alignment/>
      <protection/>
    </xf>
    <xf numFmtId="0" fontId="0" fillId="0" borderId="0" xfId="0" applyBorder="1" applyAlignment="1" applyProtection="1">
      <alignment/>
      <protection/>
    </xf>
    <xf numFmtId="0" fontId="0" fillId="0" borderId="54" xfId="0" applyBorder="1" applyAlignment="1" applyProtection="1">
      <alignment/>
      <protection/>
    </xf>
    <xf numFmtId="0" fontId="3" fillId="0" borderId="53" xfId="0" applyFont="1" applyBorder="1" applyAlignment="1" applyProtection="1">
      <alignment horizontal="left"/>
      <protection/>
    </xf>
    <xf numFmtId="0" fontId="13" fillId="0" borderId="37" xfId="0" applyFont="1"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0" fontId="13" fillId="0" borderId="0" xfId="0" applyFont="1" applyAlignment="1" applyProtection="1">
      <alignment/>
      <protection/>
    </xf>
    <xf numFmtId="0" fontId="0" fillId="0" borderId="65" xfId="0" applyBorder="1" applyAlignment="1" applyProtection="1">
      <alignment/>
      <protection/>
    </xf>
    <xf numFmtId="0" fontId="12" fillId="0" borderId="60" xfId="0" applyFont="1" applyBorder="1" applyAlignment="1" applyProtection="1">
      <alignment/>
      <protection/>
    </xf>
    <xf numFmtId="0" fontId="0" fillId="0" borderId="60" xfId="0" applyBorder="1" applyAlignment="1" applyProtection="1">
      <alignment/>
      <protection/>
    </xf>
    <xf numFmtId="0" fontId="3" fillId="0" borderId="60" xfId="0" applyFont="1" applyBorder="1" applyAlignment="1" applyProtection="1">
      <alignment horizontal="right"/>
      <protection/>
    </xf>
    <xf numFmtId="0" fontId="0" fillId="0" borderId="61" xfId="0" applyBorder="1" applyAlignment="1" applyProtection="1">
      <alignment/>
      <protection/>
    </xf>
    <xf numFmtId="0" fontId="0" fillId="0" borderId="66" xfId="0" applyBorder="1" applyAlignment="1" applyProtection="1">
      <alignment/>
      <protection/>
    </xf>
    <xf numFmtId="0" fontId="13" fillId="0" borderId="0" xfId="0" applyFont="1" applyBorder="1" applyAlignment="1" applyProtection="1">
      <alignment/>
      <protection/>
    </xf>
    <xf numFmtId="0" fontId="0" fillId="0" borderId="67" xfId="0" applyBorder="1" applyAlignment="1" applyProtection="1">
      <alignment/>
      <protection/>
    </xf>
    <xf numFmtId="0" fontId="4" fillId="0" borderId="66" xfId="0" applyFont="1" applyBorder="1" applyAlignment="1" applyProtection="1">
      <alignment/>
      <protection/>
    </xf>
    <xf numFmtId="0" fontId="12"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67" xfId="0" applyFont="1" applyBorder="1" applyAlignment="1" applyProtection="1">
      <alignment/>
      <protection/>
    </xf>
    <xf numFmtId="0" fontId="19" fillId="0" borderId="50" xfId="0" applyFont="1"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0" xfId="0" applyBorder="1" applyAlignment="1" applyProtection="1">
      <alignment vertical="top"/>
      <protection/>
    </xf>
    <xf numFmtId="0" fontId="17" fillId="0" borderId="37" xfId="0" applyFont="1" applyBorder="1" applyAlignment="1" applyProtection="1">
      <alignment/>
      <protection/>
    </xf>
    <xf numFmtId="0" fontId="17" fillId="0" borderId="0" xfId="0" applyFont="1" applyBorder="1" applyAlignment="1" applyProtection="1">
      <alignment/>
      <protection/>
    </xf>
    <xf numFmtId="0" fontId="0" fillId="0" borderId="0" xfId="0" applyBorder="1" applyAlignment="1" applyProtection="1">
      <alignment vertical="center"/>
      <protection/>
    </xf>
    <xf numFmtId="0" fontId="0" fillId="0" borderId="68" xfId="0" applyBorder="1" applyAlignment="1" applyProtection="1">
      <alignment/>
      <protection/>
    </xf>
    <xf numFmtId="0" fontId="13" fillId="0" borderId="63" xfId="0" applyFont="1" applyBorder="1" applyAlignment="1" applyProtection="1">
      <alignment/>
      <protection/>
    </xf>
    <xf numFmtId="0" fontId="0" fillId="0" borderId="63" xfId="0" applyBorder="1" applyAlignment="1" applyProtection="1">
      <alignment/>
      <protection/>
    </xf>
    <xf numFmtId="0" fontId="0" fillId="0" borderId="63" xfId="0" applyBorder="1" applyAlignment="1" applyProtection="1">
      <alignment vertical="center"/>
      <protection/>
    </xf>
    <xf numFmtId="0" fontId="0" fillId="0" borderId="69" xfId="0" applyBorder="1" applyAlignment="1" applyProtection="1">
      <alignment/>
      <protection/>
    </xf>
    <xf numFmtId="0" fontId="0" fillId="0" borderId="0" xfId="0" applyAlignment="1" applyProtection="1">
      <alignment/>
      <protection locked="0"/>
    </xf>
    <xf numFmtId="0" fontId="13" fillId="0" borderId="60" xfId="0" applyFont="1" applyBorder="1" applyAlignment="1" applyProtection="1">
      <alignment/>
      <protection/>
    </xf>
    <xf numFmtId="192" fontId="26" fillId="0" borderId="63" xfId="0" applyNumberFormat="1" applyFont="1" applyBorder="1" applyAlignment="1" applyProtection="1">
      <alignment/>
      <protection/>
    </xf>
    <xf numFmtId="2" fontId="17" fillId="0" borderId="0" xfId="0" applyNumberFormat="1" applyFont="1" applyBorder="1" applyAlignment="1" applyProtection="1">
      <alignment/>
      <protection locked="0"/>
    </xf>
    <xf numFmtId="0" fontId="28" fillId="40" borderId="53" xfId="0" applyFont="1" applyFill="1" applyBorder="1" applyAlignment="1" applyProtection="1">
      <alignment/>
      <protection/>
    </xf>
    <xf numFmtId="0" fontId="0" fillId="34" borderId="0" xfId="0" applyFont="1" applyFill="1" applyBorder="1" applyAlignment="1" applyProtection="1">
      <alignment horizontal="center" vertical="center" shrinkToFit="1"/>
      <protection/>
    </xf>
    <xf numFmtId="0" fontId="0" fillId="41" borderId="0" xfId="0" applyFont="1" applyFill="1" applyAlignment="1" applyProtection="1">
      <alignment vertical="center"/>
      <protection/>
    </xf>
    <xf numFmtId="0" fontId="0" fillId="34" borderId="11"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shrinkToFit="1"/>
      <protection/>
    </xf>
    <xf numFmtId="0" fontId="0" fillId="42" borderId="33" xfId="0" applyFont="1" applyFill="1" applyBorder="1" applyAlignment="1" applyProtection="1">
      <alignment horizontal="left" vertical="center" shrinkToFit="1"/>
      <protection/>
    </xf>
    <xf numFmtId="165" fontId="0" fillId="34" borderId="12" xfId="0" applyNumberFormat="1" applyFont="1" applyFill="1" applyBorder="1" applyAlignment="1" applyProtection="1">
      <alignment horizontal="center"/>
      <protection/>
    </xf>
    <xf numFmtId="165" fontId="0" fillId="34" borderId="38" xfId="0" applyNumberFormat="1" applyFont="1" applyFill="1" applyBorder="1" applyAlignment="1" applyProtection="1">
      <alignment horizontal="center"/>
      <protection/>
    </xf>
    <xf numFmtId="165" fontId="0" fillId="34" borderId="32" xfId="0" applyNumberFormat="1" applyFont="1" applyFill="1" applyBorder="1" applyAlignment="1" applyProtection="1">
      <alignment horizontal="center"/>
      <protection/>
    </xf>
    <xf numFmtId="165" fontId="0" fillId="34" borderId="13" xfId="0" applyNumberFormat="1" applyFont="1" applyFill="1" applyBorder="1" applyAlignment="1" applyProtection="1">
      <alignment horizontal="center"/>
      <protection/>
    </xf>
    <xf numFmtId="0" fontId="13" fillId="35" borderId="70" xfId="0" applyFont="1" applyFill="1" applyBorder="1" applyAlignment="1" applyProtection="1">
      <alignment vertical="center"/>
      <protection/>
    </xf>
    <xf numFmtId="0" fontId="13" fillId="35" borderId="71" xfId="0" applyFont="1" applyFill="1" applyBorder="1" applyAlignment="1" applyProtection="1">
      <alignment vertical="center"/>
      <protection/>
    </xf>
    <xf numFmtId="0" fontId="13" fillId="41" borderId="72" xfId="0" applyFont="1" applyFill="1" applyBorder="1" applyAlignment="1" applyProtection="1">
      <alignment vertical="center"/>
      <protection/>
    </xf>
    <xf numFmtId="0" fontId="13" fillId="41" borderId="73" xfId="0" applyFont="1" applyFill="1" applyBorder="1" applyAlignment="1" applyProtection="1">
      <alignment vertical="center"/>
      <protection/>
    </xf>
    <xf numFmtId="0" fontId="13" fillId="35" borderId="74" xfId="0" applyFont="1" applyFill="1" applyBorder="1" applyAlignment="1" applyProtection="1">
      <alignment horizontal="center" vertical="center"/>
      <protection/>
    </xf>
    <xf numFmtId="0" fontId="13" fillId="41" borderId="75" xfId="0" applyFont="1" applyFill="1" applyBorder="1" applyAlignment="1" applyProtection="1">
      <alignment vertical="center"/>
      <protection/>
    </xf>
    <xf numFmtId="0" fontId="13" fillId="35" borderId="76" xfId="0" applyFont="1" applyFill="1" applyBorder="1" applyAlignment="1" applyProtection="1">
      <alignment horizontal="center" vertical="center"/>
      <protection/>
    </xf>
    <xf numFmtId="0" fontId="13" fillId="41" borderId="77" xfId="0" applyFont="1" applyFill="1" applyBorder="1" applyAlignment="1" applyProtection="1">
      <alignment vertical="center"/>
      <protection/>
    </xf>
    <xf numFmtId="0" fontId="13" fillId="35" borderId="78" xfId="0" applyFont="1" applyFill="1" applyBorder="1" applyAlignment="1" applyProtection="1">
      <alignment vertical="center"/>
      <protection/>
    </xf>
    <xf numFmtId="0" fontId="13" fillId="41" borderId="31" xfId="0" applyFont="1" applyFill="1" applyBorder="1" applyAlignment="1" applyProtection="1">
      <alignment vertical="center"/>
      <protection/>
    </xf>
    <xf numFmtId="0" fontId="13" fillId="41" borderId="79" xfId="0" applyFont="1" applyFill="1" applyBorder="1" applyAlignment="1" applyProtection="1">
      <alignment vertical="center"/>
      <protection/>
    </xf>
    <xf numFmtId="0" fontId="13" fillId="41" borderId="29" xfId="0" applyFont="1" applyFill="1" applyBorder="1" applyAlignment="1" applyProtection="1">
      <alignment vertical="center"/>
      <protection/>
    </xf>
    <xf numFmtId="0" fontId="13" fillId="41" borderId="31" xfId="0" applyFont="1" applyFill="1" applyBorder="1" applyAlignment="1" applyProtection="1">
      <alignment horizontal="left" vertical="center"/>
      <protection/>
    </xf>
    <xf numFmtId="0" fontId="0" fillId="41" borderId="79" xfId="0" applyFont="1" applyFill="1" applyBorder="1" applyAlignment="1" applyProtection="1">
      <alignment vertical="center"/>
      <protection/>
    </xf>
    <xf numFmtId="0" fontId="13" fillId="41" borderId="79" xfId="0" applyFont="1" applyFill="1" applyBorder="1" applyAlignment="1" applyProtection="1">
      <alignment horizontal="left" vertical="center"/>
      <protection/>
    </xf>
    <xf numFmtId="193" fontId="0" fillId="40" borderId="0" xfId="0" applyNumberFormat="1" applyFill="1" applyBorder="1" applyAlignment="1" applyProtection="1">
      <alignment/>
      <protection/>
    </xf>
    <xf numFmtId="193" fontId="0" fillId="40" borderId="0" xfId="0" applyNumberFormat="1" applyFill="1" applyBorder="1" applyAlignment="1" applyProtection="1">
      <alignment/>
      <protection/>
    </xf>
    <xf numFmtId="0" fontId="13" fillId="41" borderId="79" xfId="0" applyFont="1" applyFill="1" applyBorder="1" applyAlignment="1" applyProtection="1">
      <alignment horizontal="right" vertical="center"/>
      <protection/>
    </xf>
    <xf numFmtId="2" fontId="13" fillId="41" borderId="31" xfId="0" applyNumberFormat="1" applyFont="1" applyFill="1" applyBorder="1" applyAlignment="1" applyProtection="1">
      <alignment horizontal="left" vertical="center"/>
      <protection/>
    </xf>
    <xf numFmtId="0" fontId="13" fillId="43" borderId="0" xfId="0" applyFont="1" applyFill="1" applyAlignment="1" applyProtection="1">
      <alignment vertical="center"/>
      <protection/>
    </xf>
    <xf numFmtId="0" fontId="13" fillId="43" borderId="0" xfId="0" applyFont="1" applyFill="1" applyAlignment="1" applyProtection="1">
      <alignment horizontal="right" vertical="center" shrinkToFit="1"/>
      <protection/>
    </xf>
    <xf numFmtId="0" fontId="13" fillId="34" borderId="80" xfId="0" applyFont="1" applyFill="1" applyBorder="1" applyAlignment="1" applyProtection="1">
      <alignment vertical="center"/>
      <protection/>
    </xf>
    <xf numFmtId="0" fontId="144" fillId="34" borderId="81" xfId="0" applyFont="1" applyFill="1" applyBorder="1" applyAlignment="1" applyProtection="1">
      <alignment vertical="center"/>
      <protection/>
    </xf>
    <xf numFmtId="3" fontId="144" fillId="34" borderId="82" xfId="0" applyNumberFormat="1" applyFont="1" applyFill="1" applyBorder="1" applyAlignment="1" applyProtection="1">
      <alignment vertical="center"/>
      <protection/>
    </xf>
    <xf numFmtId="165" fontId="13" fillId="43" borderId="83" xfId="0" applyNumberFormat="1" applyFont="1" applyFill="1" applyBorder="1" applyAlignment="1" applyProtection="1">
      <alignment vertical="center" shrinkToFit="1"/>
      <protection/>
    </xf>
    <xf numFmtId="164" fontId="21" fillId="34" borderId="84" xfId="0" applyNumberFormat="1" applyFont="1" applyFill="1" applyBorder="1" applyAlignment="1" applyProtection="1">
      <alignment vertical="center" shrinkToFit="1"/>
      <protection/>
    </xf>
    <xf numFmtId="3" fontId="21" fillId="34" borderId="84" xfId="0" applyNumberFormat="1" applyFont="1" applyFill="1" applyBorder="1" applyAlignment="1" applyProtection="1">
      <alignment vertical="center" shrinkToFit="1"/>
      <protection/>
    </xf>
    <xf numFmtId="0" fontId="21" fillId="34" borderId="85" xfId="0" applyFont="1" applyFill="1" applyBorder="1" applyAlignment="1" applyProtection="1">
      <alignment horizontal="center" vertical="center" shrinkToFit="1"/>
      <protection/>
    </xf>
    <xf numFmtId="186" fontId="12" fillId="43" borderId="0" xfId="0" applyNumberFormat="1" applyFont="1" applyFill="1" applyBorder="1" applyAlignment="1" applyProtection="1">
      <alignment horizontal="right" vertical="center" shrinkToFit="1"/>
      <protection/>
    </xf>
    <xf numFmtId="0" fontId="4" fillId="43" borderId="0" xfId="0" applyFont="1" applyFill="1" applyAlignment="1" applyProtection="1">
      <alignment horizontal="right" vertical="center"/>
      <protection/>
    </xf>
    <xf numFmtId="165" fontId="12" fillId="43" borderId="0" xfId="0" applyNumberFormat="1" applyFont="1" applyFill="1" applyAlignment="1" applyProtection="1">
      <alignment vertical="center" shrinkToFit="1"/>
      <protection/>
    </xf>
    <xf numFmtId="0" fontId="0" fillId="43" borderId="86" xfId="0" applyFont="1" applyFill="1" applyBorder="1" applyAlignment="1" applyProtection="1">
      <alignment horizontal="center" vertical="center"/>
      <protection/>
    </xf>
    <xf numFmtId="0" fontId="13" fillId="43" borderId="86" xfId="0" applyFont="1" applyFill="1" applyBorder="1" applyAlignment="1" applyProtection="1">
      <alignment horizontal="center" vertical="center" shrinkToFit="1"/>
      <protection/>
    </xf>
    <xf numFmtId="0" fontId="0" fillId="43" borderId="86" xfId="0" applyFont="1" applyFill="1" applyBorder="1" applyAlignment="1" applyProtection="1">
      <alignment horizontal="center" vertical="center" shrinkToFit="1"/>
      <protection/>
    </xf>
    <xf numFmtId="3" fontId="0" fillId="43" borderId="87" xfId="0" applyNumberFormat="1" applyFont="1" applyFill="1" applyBorder="1" applyAlignment="1" applyProtection="1">
      <alignment vertical="center"/>
      <protection/>
    </xf>
    <xf numFmtId="0" fontId="0" fillId="43" borderId="53" xfId="0" applyFont="1" applyFill="1" applyBorder="1" applyAlignment="1" applyProtection="1">
      <alignment horizontal="center" vertical="center" shrinkToFit="1"/>
      <protection/>
    </xf>
    <xf numFmtId="0" fontId="0" fillId="43" borderId="53" xfId="0" applyFont="1" applyFill="1" applyBorder="1" applyAlignment="1" applyProtection="1">
      <alignment horizontal="center" vertical="center"/>
      <protection/>
    </xf>
    <xf numFmtId="0" fontId="15" fillId="34" borderId="88" xfId="0" applyFont="1" applyFill="1" applyBorder="1" applyAlignment="1" applyProtection="1">
      <alignment horizontal="center" vertical="center" shrinkToFit="1"/>
      <protection/>
    </xf>
    <xf numFmtId="0" fontId="21" fillId="34" borderId="88" xfId="0" applyFont="1" applyFill="1" applyBorder="1" applyAlignment="1" applyProtection="1">
      <alignment horizontal="center" vertical="center" shrinkToFit="1"/>
      <protection/>
    </xf>
    <xf numFmtId="3" fontId="4" fillId="43" borderId="86" xfId="0" applyNumberFormat="1" applyFont="1" applyFill="1" applyBorder="1" applyAlignment="1" applyProtection="1">
      <alignment vertical="center"/>
      <protection/>
    </xf>
    <xf numFmtId="3" fontId="16" fillId="34" borderId="89" xfId="0" applyNumberFormat="1" applyFont="1" applyFill="1" applyBorder="1" applyAlignment="1" applyProtection="1">
      <alignment vertical="center" shrinkToFit="1"/>
      <protection/>
    </xf>
    <xf numFmtId="0" fontId="13" fillId="34" borderId="90" xfId="0" applyFont="1" applyFill="1" applyBorder="1" applyAlignment="1" applyProtection="1">
      <alignment vertical="center"/>
      <protection/>
    </xf>
    <xf numFmtId="0" fontId="13" fillId="41" borderId="0" xfId="0" applyFont="1" applyFill="1" applyAlignment="1" applyProtection="1">
      <alignment vertical="center"/>
      <protection/>
    </xf>
    <xf numFmtId="0" fontId="0" fillId="41" borderId="0" xfId="0" applyFont="1" applyFill="1" applyAlignment="1" applyProtection="1">
      <alignment horizontal="right" vertical="center"/>
      <protection/>
    </xf>
    <xf numFmtId="0" fontId="13" fillId="41" borderId="0" xfId="0" applyFont="1" applyFill="1" applyAlignment="1" applyProtection="1">
      <alignment vertical="center" shrinkToFit="1"/>
      <protection/>
    </xf>
    <xf numFmtId="3" fontId="15" fillId="41" borderId="0" xfId="0" applyNumberFormat="1" applyFont="1" applyFill="1" applyAlignment="1" applyProtection="1">
      <alignment vertical="center"/>
      <protection/>
    </xf>
    <xf numFmtId="164" fontId="21" fillId="41" borderId="0" xfId="0" applyNumberFormat="1" applyFont="1" applyFill="1" applyAlignment="1" applyProtection="1">
      <alignment vertical="center" shrinkToFit="1"/>
      <protection/>
    </xf>
    <xf numFmtId="0" fontId="21" fillId="41" borderId="0" xfId="0" applyFont="1" applyFill="1" applyAlignment="1" applyProtection="1">
      <alignment vertical="center" shrinkToFit="1"/>
      <protection/>
    </xf>
    <xf numFmtId="3" fontId="22" fillId="41" borderId="0" xfId="0" applyNumberFormat="1" applyFont="1" applyFill="1" applyAlignment="1" applyProtection="1">
      <alignment vertical="center"/>
      <protection/>
    </xf>
    <xf numFmtId="164" fontId="23" fillId="41" borderId="0" xfId="0" applyNumberFormat="1" applyFont="1" applyFill="1" applyAlignment="1" applyProtection="1">
      <alignment vertical="center" shrinkToFit="1"/>
      <protection/>
    </xf>
    <xf numFmtId="0" fontId="23" fillId="41" borderId="0" xfId="0" applyFont="1" applyFill="1" applyAlignment="1" applyProtection="1">
      <alignment vertical="center" shrinkToFit="1"/>
      <protection/>
    </xf>
    <xf numFmtId="3" fontId="21" fillId="41" borderId="0" xfId="0" applyNumberFormat="1" applyFont="1" applyFill="1" applyAlignment="1" applyProtection="1">
      <alignment vertical="center" shrinkToFit="1"/>
      <protection/>
    </xf>
    <xf numFmtId="0" fontId="15" fillId="34" borderId="91" xfId="0" applyFont="1" applyFill="1" applyBorder="1" applyAlignment="1" applyProtection="1">
      <alignment horizontal="center" vertical="center" shrinkToFit="1"/>
      <protection/>
    </xf>
    <xf numFmtId="17" fontId="21" fillId="34" borderId="92" xfId="0" applyNumberFormat="1" applyFont="1" applyFill="1" applyBorder="1" applyAlignment="1" applyProtection="1">
      <alignment horizontal="center" vertical="center" shrinkToFit="1"/>
      <protection/>
    </xf>
    <xf numFmtId="164" fontId="21" fillId="34" borderId="93" xfId="0" applyNumberFormat="1" applyFont="1" applyFill="1" applyBorder="1" applyAlignment="1" applyProtection="1">
      <alignment vertical="center" shrinkToFit="1"/>
      <protection/>
    </xf>
    <xf numFmtId="3" fontId="16" fillId="34" borderId="94" xfId="0" applyNumberFormat="1" applyFont="1" applyFill="1" applyBorder="1" applyAlignment="1" applyProtection="1">
      <alignment vertical="center" shrinkToFit="1"/>
      <protection/>
    </xf>
    <xf numFmtId="0" fontId="15" fillId="34" borderId="95" xfId="0" applyFont="1" applyFill="1" applyBorder="1" applyAlignment="1" applyProtection="1">
      <alignment horizontal="center" vertical="center" shrinkToFit="1"/>
      <protection/>
    </xf>
    <xf numFmtId="17" fontId="21" fillId="34" borderId="96" xfId="0" applyNumberFormat="1" applyFont="1" applyFill="1" applyBorder="1" applyAlignment="1" applyProtection="1">
      <alignment horizontal="center" vertical="center" shrinkToFit="1"/>
      <protection/>
    </xf>
    <xf numFmtId="164" fontId="21" fillId="34" borderId="97" xfId="0" applyNumberFormat="1" applyFont="1" applyFill="1" applyBorder="1" applyAlignment="1" applyProtection="1">
      <alignment vertical="center" shrinkToFit="1"/>
      <protection/>
    </xf>
    <xf numFmtId="3" fontId="16" fillId="34" borderId="98" xfId="0" applyNumberFormat="1" applyFont="1" applyFill="1" applyBorder="1" applyAlignment="1" applyProtection="1">
      <alignment vertical="center" shrinkToFit="1"/>
      <protection/>
    </xf>
    <xf numFmtId="3" fontId="16" fillId="34" borderId="99" xfId="0" applyNumberFormat="1" applyFont="1" applyFill="1" applyBorder="1" applyAlignment="1" applyProtection="1">
      <alignment vertical="center" shrinkToFit="1"/>
      <protection/>
    </xf>
    <xf numFmtId="0" fontId="12" fillId="43" borderId="0" xfId="0" applyFont="1" applyFill="1" applyAlignment="1" applyProtection="1">
      <alignment vertical="center"/>
      <protection/>
    </xf>
    <xf numFmtId="166" fontId="21" fillId="34" borderId="100" xfId="0" applyNumberFormat="1" applyFont="1" applyFill="1" applyBorder="1" applyAlignment="1" applyProtection="1">
      <alignment vertical="center" shrinkToFit="1"/>
      <protection/>
    </xf>
    <xf numFmtId="187" fontId="0" fillId="44" borderId="53" xfId="0" applyNumberFormat="1" applyFont="1" applyFill="1" applyBorder="1" applyAlignment="1" applyProtection="1">
      <alignment horizontal="center" vertical="center" shrinkToFit="1"/>
      <protection/>
    </xf>
    <xf numFmtId="203" fontId="0" fillId="43" borderId="53" xfId="0" applyNumberFormat="1" applyFont="1" applyFill="1" applyBorder="1" applyAlignment="1" applyProtection="1">
      <alignment horizontal="center" vertical="center" shrinkToFit="1"/>
      <protection/>
    </xf>
    <xf numFmtId="0" fontId="0" fillId="41" borderId="101" xfId="0" applyFont="1" applyFill="1" applyBorder="1" applyAlignment="1" applyProtection="1">
      <alignment horizontal="right" vertical="center"/>
      <protection/>
    </xf>
    <xf numFmtId="164" fontId="21" fillId="41" borderId="102" xfId="0" applyNumberFormat="1" applyFont="1" applyFill="1" applyBorder="1" applyAlignment="1" applyProtection="1">
      <alignment horizontal="right" vertical="center"/>
      <protection/>
    </xf>
    <xf numFmtId="0" fontId="13" fillId="43" borderId="0" xfId="0" applyNumberFormat="1" applyFont="1" applyFill="1" applyAlignment="1" applyProtection="1">
      <alignment vertical="center"/>
      <protection/>
    </xf>
    <xf numFmtId="0" fontId="21" fillId="34" borderId="103" xfId="0" applyFont="1" applyFill="1" applyBorder="1" applyAlignment="1" applyProtection="1">
      <alignment horizontal="center" vertical="center" shrinkToFit="1"/>
      <protection/>
    </xf>
    <xf numFmtId="0" fontId="13" fillId="34" borderId="104" xfId="0" applyFont="1" applyFill="1" applyBorder="1" applyAlignment="1" applyProtection="1">
      <alignment vertical="center"/>
      <protection/>
    </xf>
    <xf numFmtId="3" fontId="21" fillId="34" borderId="100" xfId="0" applyNumberFormat="1" applyFont="1" applyFill="1" applyBorder="1" applyAlignment="1" applyProtection="1">
      <alignment horizontal="center" vertical="center" shrinkToFit="1"/>
      <protection/>
    </xf>
    <xf numFmtId="0" fontId="0" fillId="34" borderId="105" xfId="0" applyFont="1" applyFill="1" applyBorder="1" applyAlignment="1" applyProtection="1">
      <alignment vertical="center"/>
      <protection/>
    </xf>
    <xf numFmtId="166" fontId="13" fillId="43" borderId="83" xfId="0" applyNumberFormat="1" applyFont="1" applyFill="1" applyBorder="1" applyAlignment="1" applyProtection="1">
      <alignment horizontal="right" vertical="center" shrinkToFit="1"/>
      <protection/>
    </xf>
    <xf numFmtId="191" fontId="13" fillId="43" borderId="83" xfId="0" applyNumberFormat="1" applyFont="1" applyFill="1" applyBorder="1" applyAlignment="1" applyProtection="1">
      <alignment vertical="center" shrinkToFit="1"/>
      <protection/>
    </xf>
    <xf numFmtId="191" fontId="13" fillId="43" borderId="83" xfId="0" applyNumberFormat="1" applyFont="1" applyFill="1" applyBorder="1" applyAlignment="1" applyProtection="1">
      <alignment horizontal="right" vertical="center" shrinkToFit="1"/>
      <protection/>
    </xf>
    <xf numFmtId="0" fontId="15" fillId="41" borderId="0" xfId="48" applyFont="1" applyFill="1" applyAlignment="1" applyProtection="1">
      <alignment horizontal="center" vertical="center"/>
      <protection locked="0"/>
    </xf>
    <xf numFmtId="2" fontId="12" fillId="45" borderId="0" xfId="0" applyNumberFormat="1" applyFont="1" applyFill="1" applyBorder="1" applyAlignment="1" applyProtection="1">
      <alignment vertical="center"/>
      <protection/>
    </xf>
    <xf numFmtId="2" fontId="13" fillId="45" borderId="0" xfId="0" applyNumberFormat="1" applyFont="1" applyFill="1" applyBorder="1" applyAlignment="1" applyProtection="1">
      <alignment vertical="center"/>
      <protection/>
    </xf>
    <xf numFmtId="0" fontId="13" fillId="45" borderId="0" xfId="0" applyFont="1" applyFill="1" applyBorder="1" applyAlignment="1" applyProtection="1">
      <alignment vertical="center"/>
      <protection/>
    </xf>
    <xf numFmtId="0" fontId="0" fillId="45" borderId="0" xfId="0" applyFont="1" applyFill="1" applyBorder="1" applyAlignment="1" applyProtection="1">
      <alignment vertical="center"/>
      <protection/>
    </xf>
    <xf numFmtId="2" fontId="9" fillId="45" borderId="0" xfId="0" applyNumberFormat="1" applyFont="1" applyFill="1" applyBorder="1" applyAlignment="1" applyProtection="1">
      <alignment vertical="center"/>
      <protection/>
    </xf>
    <xf numFmtId="0" fontId="3" fillId="45" borderId="0" xfId="0" applyFont="1" applyFill="1" applyBorder="1" applyAlignment="1" applyProtection="1">
      <alignment vertical="center"/>
      <protection/>
    </xf>
    <xf numFmtId="2" fontId="3" fillId="45" borderId="0" xfId="0" applyNumberFormat="1" applyFont="1" applyFill="1" applyBorder="1" applyAlignment="1" applyProtection="1">
      <alignment horizontal="right" vertical="center"/>
      <protection/>
    </xf>
    <xf numFmtId="2" fontId="11" fillId="45" borderId="0" xfId="0" applyNumberFormat="1" applyFont="1" applyFill="1" applyBorder="1" applyAlignment="1" applyProtection="1">
      <alignment vertical="center"/>
      <protection/>
    </xf>
    <xf numFmtId="0" fontId="145" fillId="45" borderId="0" xfId="0" applyFont="1" applyFill="1" applyBorder="1" applyAlignment="1" applyProtection="1">
      <alignment vertical="center"/>
      <protection/>
    </xf>
    <xf numFmtId="0" fontId="145" fillId="45" borderId="0" xfId="0" applyFont="1" applyFill="1" applyBorder="1" applyAlignment="1" applyProtection="1">
      <alignment horizontal="right" vertical="center"/>
      <protection/>
    </xf>
    <xf numFmtId="2" fontId="13" fillId="45" borderId="0" xfId="0" applyNumberFormat="1" applyFont="1" applyFill="1" applyBorder="1" applyAlignment="1" applyProtection="1">
      <alignment horizontal="left" vertical="center"/>
      <protection/>
    </xf>
    <xf numFmtId="0" fontId="0" fillId="41" borderId="0" xfId="48" applyFont="1" applyFill="1" applyBorder="1" applyAlignment="1" applyProtection="1">
      <alignment vertical="center"/>
      <protection/>
    </xf>
    <xf numFmtId="0" fontId="13" fillId="41" borderId="75" xfId="0" applyFont="1" applyFill="1" applyBorder="1" applyAlignment="1" applyProtection="1">
      <alignment horizontal="center" vertical="center"/>
      <protection/>
    </xf>
    <xf numFmtId="0" fontId="13" fillId="41" borderId="77" xfId="0" applyFont="1" applyFill="1" applyBorder="1" applyAlignment="1" applyProtection="1">
      <alignment horizontal="center" vertical="center"/>
      <protection/>
    </xf>
    <xf numFmtId="0" fontId="7" fillId="0" borderId="0" xfId="0" applyFont="1" applyAlignment="1">
      <alignment/>
    </xf>
    <xf numFmtId="0" fontId="0" fillId="41" borderId="0" xfId="0" applyFont="1" applyFill="1" applyAlignment="1" applyProtection="1">
      <alignment horizontal="center" vertical="center"/>
      <protection locked="0"/>
    </xf>
    <xf numFmtId="0" fontId="21" fillId="41" borderId="0" xfId="48" applyFont="1" applyFill="1" applyAlignment="1" applyProtection="1">
      <alignment vertical="center"/>
      <protection/>
    </xf>
    <xf numFmtId="0" fontId="146" fillId="45" borderId="0" xfId="0" applyFont="1" applyFill="1" applyBorder="1" applyAlignment="1" applyProtection="1">
      <alignment horizontal="right" vertical="center"/>
      <protection/>
    </xf>
    <xf numFmtId="0" fontId="147" fillId="45" borderId="0" xfId="0" applyFont="1" applyFill="1" applyBorder="1" applyAlignment="1" applyProtection="1">
      <alignment horizontal="right" vertical="center"/>
      <protection/>
    </xf>
    <xf numFmtId="2" fontId="6" fillId="45" borderId="0" xfId="0" applyNumberFormat="1" applyFont="1" applyFill="1" applyBorder="1" applyAlignment="1" applyProtection="1">
      <alignment horizontal="right" vertical="center"/>
      <protection/>
    </xf>
    <xf numFmtId="171" fontId="12" fillId="45" borderId="0" xfId="0" applyNumberFormat="1" applyFont="1" applyFill="1" applyBorder="1" applyAlignment="1" applyProtection="1">
      <alignment horizontal="right" vertical="center" shrinkToFit="1"/>
      <protection/>
    </xf>
    <xf numFmtId="2" fontId="13" fillId="45" borderId="106" xfId="0" applyNumberFormat="1" applyFont="1" applyFill="1" applyBorder="1" applyAlignment="1" applyProtection="1">
      <alignment vertical="center"/>
      <protection/>
    </xf>
    <xf numFmtId="171" fontId="13" fillId="45" borderId="0" xfId="0" applyNumberFormat="1" applyFont="1" applyFill="1" applyBorder="1" applyAlignment="1" applyProtection="1">
      <alignment horizontal="right" vertical="center" shrinkToFit="1"/>
      <protection/>
    </xf>
    <xf numFmtId="0" fontId="0" fillId="41" borderId="0" xfId="48" applyFont="1" applyFill="1" applyAlignment="1" applyProtection="1">
      <alignment vertical="center"/>
      <protection/>
    </xf>
    <xf numFmtId="0" fontId="0" fillId="41" borderId="0" xfId="48" applyFont="1" applyFill="1" applyBorder="1" applyAlignment="1" applyProtection="1">
      <alignment vertical="center" wrapText="1"/>
      <protection/>
    </xf>
    <xf numFmtId="0" fontId="15" fillId="41" borderId="0" xfId="48" applyFont="1" applyFill="1" applyAlignment="1" applyProtection="1">
      <alignment vertical="center"/>
      <protection/>
    </xf>
    <xf numFmtId="0" fontId="8" fillId="46" borderId="107" xfId="48" applyFont="1" applyFill="1" applyBorder="1" applyAlignment="1" applyProtection="1">
      <alignment horizontal="left" vertical="center"/>
      <protection/>
    </xf>
    <xf numFmtId="2" fontId="148" fillId="45" borderId="0" xfId="0" applyNumberFormat="1" applyFont="1" applyFill="1" applyBorder="1" applyAlignment="1" applyProtection="1">
      <alignment horizontal="right" vertical="center"/>
      <protection/>
    </xf>
    <xf numFmtId="0" fontId="8" fillId="46" borderId="108" xfId="48" applyFont="1" applyFill="1" applyBorder="1" applyAlignment="1" applyProtection="1">
      <alignment horizontal="left" vertical="center"/>
      <protection/>
    </xf>
    <xf numFmtId="0" fontId="8" fillId="46" borderId="109" xfId="48" applyFont="1" applyFill="1" applyBorder="1" applyAlignment="1" applyProtection="1">
      <alignment horizontal="left" vertical="center"/>
      <protection/>
    </xf>
    <xf numFmtId="0" fontId="0" fillId="46" borderId="109" xfId="48" applyFont="1" applyFill="1" applyBorder="1" applyAlignment="1" applyProtection="1">
      <alignment vertical="center"/>
      <protection/>
    </xf>
    <xf numFmtId="0" fontId="0" fillId="46" borderId="110" xfId="48" applyFont="1" applyFill="1" applyBorder="1" applyAlignment="1" applyProtection="1">
      <alignment vertical="center"/>
      <protection/>
    </xf>
    <xf numFmtId="171" fontId="9" fillId="45" borderId="111" xfId="0" applyNumberFormat="1" applyFont="1" applyFill="1" applyBorder="1" applyAlignment="1" applyProtection="1">
      <alignment vertical="center" shrinkToFit="1"/>
      <protection/>
    </xf>
    <xf numFmtId="0" fontId="0" fillId="45" borderId="106" xfId="0" applyFont="1" applyFill="1" applyBorder="1" applyAlignment="1" applyProtection="1">
      <alignment vertical="center"/>
      <protection/>
    </xf>
    <xf numFmtId="0" fontId="0" fillId="41" borderId="0" xfId="0" applyFont="1" applyFill="1" applyAlignment="1" applyProtection="1">
      <alignment horizontal="center" vertical="center"/>
      <protection/>
    </xf>
    <xf numFmtId="0" fontId="0" fillId="0" borderId="0" xfId="0" applyFont="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4" fontId="0" fillId="0" borderId="0" xfId="0" applyNumberFormat="1" applyAlignment="1">
      <alignment horizontal="center"/>
    </xf>
    <xf numFmtId="4" fontId="4" fillId="0" borderId="0" xfId="0" applyNumberFormat="1" applyFont="1" applyAlignment="1">
      <alignment horizontal="center"/>
    </xf>
    <xf numFmtId="0" fontId="149" fillId="0" borderId="50" xfId="0" applyFont="1" applyBorder="1" applyAlignment="1">
      <alignment/>
    </xf>
    <xf numFmtId="4" fontId="149" fillId="0" borderId="52" xfId="0" applyNumberFormat="1" applyFont="1" applyBorder="1" applyAlignment="1">
      <alignment horizontal="center"/>
    </xf>
    <xf numFmtId="0" fontId="0" fillId="0" borderId="53" xfId="0" applyBorder="1" applyAlignment="1">
      <alignment/>
    </xf>
    <xf numFmtId="0" fontId="0" fillId="0" borderId="37" xfId="0" applyBorder="1" applyAlignment="1">
      <alignment/>
    </xf>
    <xf numFmtId="4" fontId="149" fillId="0" borderId="54" xfId="0" applyNumberFormat="1" applyFont="1" applyBorder="1" applyAlignment="1">
      <alignment horizontal="center"/>
    </xf>
    <xf numFmtId="4" fontId="149" fillId="0" borderId="28" xfId="0" applyNumberFormat="1" applyFont="1" applyBorder="1" applyAlignment="1">
      <alignment horizontal="center"/>
    </xf>
    <xf numFmtId="0" fontId="5" fillId="47" borderId="111" xfId="0" applyFont="1" applyFill="1" applyBorder="1" applyAlignment="1" applyProtection="1">
      <alignment vertical="center"/>
      <protection/>
    </xf>
    <xf numFmtId="0" fontId="150" fillId="0" borderId="0" xfId="0" applyFont="1" applyAlignment="1">
      <alignment horizontal="center"/>
    </xf>
    <xf numFmtId="4" fontId="150" fillId="0" borderId="112" xfId="0" applyNumberFormat="1" applyFont="1" applyBorder="1" applyAlignment="1">
      <alignment horizontal="center"/>
    </xf>
    <xf numFmtId="195" fontId="0" fillId="0" borderId="0" xfId="0" applyNumberFormat="1" applyAlignment="1">
      <alignment/>
    </xf>
    <xf numFmtId="0" fontId="0" fillId="0" borderId="0" xfId="0" applyAlignment="1">
      <alignment/>
    </xf>
    <xf numFmtId="166" fontId="0" fillId="0" borderId="0" xfId="0" applyNumberFormat="1" applyAlignment="1">
      <alignment/>
    </xf>
    <xf numFmtId="0" fontId="29" fillId="0" borderId="0" xfId="0" applyFont="1" applyAlignment="1">
      <alignment horizontal="center"/>
    </xf>
    <xf numFmtId="4" fontId="0" fillId="0" borderId="112" xfId="0" applyNumberFormat="1" applyFont="1" applyBorder="1" applyAlignment="1">
      <alignment horizontal="center"/>
    </xf>
    <xf numFmtId="0" fontId="151" fillId="0" borderId="0" xfId="0" applyFont="1" applyAlignment="1">
      <alignment horizontal="center"/>
    </xf>
    <xf numFmtId="0" fontId="152" fillId="0" borderId="0" xfId="0" applyFont="1" applyAlignment="1">
      <alignment horizontal="center"/>
    </xf>
    <xf numFmtId="4" fontId="152" fillId="0" borderId="112" xfId="0" applyNumberFormat="1" applyFont="1" applyBorder="1" applyAlignment="1">
      <alignment horizontal="center"/>
    </xf>
    <xf numFmtId="0" fontId="153" fillId="0" borderId="0" xfId="0" applyFont="1" applyAlignment="1">
      <alignment horizontal="center"/>
    </xf>
    <xf numFmtId="2" fontId="154" fillId="48" borderId="0" xfId="0" applyNumberFormat="1" applyFont="1" applyFill="1" applyBorder="1" applyAlignment="1" applyProtection="1">
      <alignment horizontal="center" vertical="center" textRotation="90"/>
      <protection/>
    </xf>
    <xf numFmtId="2" fontId="154" fillId="48" borderId="106" xfId="0" applyNumberFormat="1" applyFont="1" applyFill="1" applyBorder="1" applyAlignment="1" applyProtection="1">
      <alignment horizontal="center" vertical="center" textRotation="90"/>
      <protection/>
    </xf>
    <xf numFmtId="190" fontId="11" fillId="49" borderId="0" xfId="0" applyNumberFormat="1" applyFont="1" applyFill="1" applyBorder="1" applyAlignment="1" applyProtection="1">
      <alignment horizontal="center" vertical="center" shrinkToFit="1"/>
      <protection/>
    </xf>
    <xf numFmtId="2" fontId="154" fillId="49" borderId="0" xfId="0" applyNumberFormat="1" applyFont="1" applyFill="1" applyBorder="1" applyAlignment="1" applyProtection="1">
      <alignment horizontal="center" vertical="center" textRotation="90"/>
      <protection/>
    </xf>
    <xf numFmtId="2" fontId="9" fillId="49" borderId="0" xfId="0" applyNumberFormat="1" applyFont="1" applyFill="1" applyBorder="1" applyAlignment="1" applyProtection="1">
      <alignment vertical="top"/>
      <protection/>
    </xf>
    <xf numFmtId="171" fontId="9" fillId="49" borderId="111" xfId="0" applyNumberFormat="1" applyFont="1" applyFill="1" applyBorder="1" applyAlignment="1" applyProtection="1">
      <alignment vertical="center" shrinkToFit="1"/>
      <protection/>
    </xf>
    <xf numFmtId="2" fontId="9" fillId="49" borderId="0" xfId="0" applyNumberFormat="1" applyFont="1" applyFill="1" applyBorder="1" applyAlignment="1" applyProtection="1">
      <alignment vertical="center"/>
      <protection/>
    </xf>
    <xf numFmtId="2" fontId="3" fillId="49" borderId="0" xfId="0" applyNumberFormat="1" applyFont="1" applyFill="1" applyBorder="1" applyAlignment="1" applyProtection="1">
      <alignment horizontal="left" vertical="center"/>
      <protection/>
    </xf>
    <xf numFmtId="0" fontId="0" fillId="49" borderId="0" xfId="0" applyFont="1" applyFill="1" applyBorder="1" applyAlignment="1" applyProtection="1">
      <alignment vertical="center"/>
      <protection/>
    </xf>
    <xf numFmtId="171" fontId="13" fillId="49" borderId="0" xfId="0" applyNumberFormat="1" applyFont="1" applyFill="1" applyBorder="1" applyAlignment="1" applyProtection="1">
      <alignment horizontal="right" vertical="center"/>
      <protection/>
    </xf>
    <xf numFmtId="206" fontId="11" fillId="49" borderId="0" xfId="0" applyNumberFormat="1" applyFont="1" applyFill="1" applyBorder="1" applyAlignment="1" applyProtection="1">
      <alignment horizontal="right" vertical="center" indent="1" shrinkToFit="1"/>
      <protection/>
    </xf>
    <xf numFmtId="190" fontId="155" fillId="49" borderId="113" xfId="0" applyNumberFormat="1" applyFont="1" applyFill="1" applyBorder="1" applyAlignment="1" applyProtection="1">
      <alignment horizontal="center" vertical="center" shrinkToFit="1"/>
      <protection/>
    </xf>
    <xf numFmtId="206" fontId="11" fillId="49" borderId="113" xfId="0" applyNumberFormat="1" applyFont="1" applyFill="1" applyBorder="1" applyAlignment="1" applyProtection="1">
      <alignment horizontal="right" vertical="center" indent="1" shrinkToFit="1"/>
      <protection/>
    </xf>
    <xf numFmtId="0" fontId="0" fillId="0" borderId="50" xfId="0" applyFont="1" applyBorder="1" applyAlignment="1">
      <alignment/>
    </xf>
    <xf numFmtId="0" fontId="0" fillId="0" borderId="51" xfId="0" applyFont="1" applyBorder="1" applyAlignment="1">
      <alignment/>
    </xf>
    <xf numFmtId="0" fontId="0" fillId="0" borderId="53" xfId="0" applyFont="1" applyBorder="1" applyAlignment="1">
      <alignment/>
    </xf>
    <xf numFmtId="0" fontId="0" fillId="0" borderId="0" xfId="0" applyFont="1" applyBorder="1" applyAlignment="1">
      <alignment/>
    </xf>
    <xf numFmtId="0" fontId="0" fillId="0" borderId="37" xfId="0" applyFont="1" applyBorder="1" applyAlignment="1">
      <alignment/>
    </xf>
    <xf numFmtId="0" fontId="0" fillId="0" borderId="26" xfId="0" applyBorder="1" applyAlignment="1">
      <alignment/>
    </xf>
    <xf numFmtId="190" fontId="156" fillId="48" borderId="114" xfId="0" applyNumberFormat="1" applyFont="1" applyFill="1" applyBorder="1" applyAlignment="1" applyProtection="1">
      <alignment horizontal="center" vertical="center" shrinkToFit="1"/>
      <protection/>
    </xf>
    <xf numFmtId="190" fontId="144" fillId="48" borderId="114" xfId="0" applyNumberFormat="1" applyFont="1" applyFill="1" applyBorder="1" applyAlignment="1" applyProtection="1">
      <alignment horizontal="center" vertical="center" shrinkToFit="1"/>
      <protection/>
    </xf>
    <xf numFmtId="4" fontId="153" fillId="0" borderId="31" xfId="0" applyNumberFormat="1" applyFont="1" applyBorder="1" applyAlignment="1">
      <alignment horizontal="center"/>
    </xf>
    <xf numFmtId="0" fontId="0" fillId="50" borderId="50" xfId="0" applyFont="1" applyFill="1" applyBorder="1" applyAlignment="1">
      <alignment horizontal="center"/>
    </xf>
    <xf numFmtId="0" fontId="0" fillId="50" borderId="51" xfId="0" applyFont="1" applyFill="1" applyBorder="1" applyAlignment="1">
      <alignment horizontal="center"/>
    </xf>
    <xf numFmtId="0" fontId="0" fillId="50" borderId="52" xfId="0" applyFont="1" applyFill="1" applyBorder="1" applyAlignment="1">
      <alignment horizontal="center"/>
    </xf>
    <xf numFmtId="0" fontId="0" fillId="50" borderId="53" xfId="0" applyFont="1" applyFill="1" applyBorder="1" applyAlignment="1">
      <alignment horizontal="center"/>
    </xf>
    <xf numFmtId="0" fontId="0" fillId="50" borderId="0" xfId="0" applyFont="1" applyFill="1" applyBorder="1" applyAlignment="1">
      <alignment horizontal="center"/>
    </xf>
    <xf numFmtId="0" fontId="0" fillId="50" borderId="54" xfId="0" applyFont="1" applyFill="1" applyBorder="1" applyAlignment="1">
      <alignment horizontal="center"/>
    </xf>
    <xf numFmtId="4" fontId="0" fillId="50" borderId="115" xfId="0" applyNumberFormat="1" applyFont="1" applyFill="1" applyBorder="1" applyAlignment="1">
      <alignment horizontal="center"/>
    </xf>
    <xf numFmtId="4" fontId="0" fillId="50" borderId="116" xfId="0" applyNumberFormat="1" applyFont="1" applyFill="1" applyBorder="1" applyAlignment="1">
      <alignment horizontal="center"/>
    </xf>
    <xf numFmtId="4" fontId="0" fillId="50" borderId="117" xfId="0" applyNumberFormat="1" applyFont="1" applyFill="1" applyBorder="1" applyAlignment="1">
      <alignment horizontal="center"/>
    </xf>
    <xf numFmtId="4" fontId="0" fillId="50" borderId="118" xfId="0" applyNumberFormat="1" applyFont="1" applyFill="1" applyBorder="1" applyAlignment="1">
      <alignment horizontal="center"/>
    </xf>
    <xf numFmtId="4" fontId="0" fillId="50" borderId="119" xfId="0" applyNumberFormat="1" applyFont="1" applyFill="1" applyBorder="1" applyAlignment="1">
      <alignment horizontal="center"/>
    </xf>
    <xf numFmtId="4" fontId="0" fillId="50" borderId="120" xfId="0" applyNumberFormat="1" applyFont="1" applyFill="1" applyBorder="1" applyAlignment="1">
      <alignment horizontal="center"/>
    </xf>
    <xf numFmtId="194" fontId="4" fillId="51" borderId="112" xfId="0" applyNumberFormat="1" applyFont="1" applyFill="1" applyBorder="1" applyAlignment="1" applyProtection="1">
      <alignment horizontal="center" vertical="center" shrinkToFit="1"/>
      <protection/>
    </xf>
    <xf numFmtId="2" fontId="154" fillId="49" borderId="113" xfId="0" applyNumberFormat="1" applyFont="1" applyFill="1" applyBorder="1" applyAlignment="1" applyProtection="1">
      <alignment horizontal="center" vertical="center" textRotation="90"/>
      <protection/>
    </xf>
    <xf numFmtId="2" fontId="9" fillId="49" borderId="0" xfId="0" applyNumberFormat="1" applyFont="1" applyFill="1" applyBorder="1" applyAlignment="1" applyProtection="1">
      <alignment horizontal="center" vertical="center"/>
      <protection/>
    </xf>
    <xf numFmtId="0" fontId="0" fillId="41" borderId="0" xfId="0" applyFont="1" applyFill="1" applyAlignment="1" applyProtection="1">
      <alignment vertical="center"/>
      <protection locked="0"/>
    </xf>
    <xf numFmtId="0" fontId="0" fillId="41" borderId="0" xfId="0" applyFont="1" applyFill="1" applyAlignment="1" applyProtection="1">
      <alignment horizontal="center" vertical="center" shrinkToFit="1"/>
      <protection locked="0"/>
    </xf>
    <xf numFmtId="0" fontId="0" fillId="45" borderId="111" xfId="0" applyFont="1" applyFill="1" applyBorder="1" applyAlignment="1" applyProtection="1">
      <alignment vertical="center"/>
      <protection/>
    </xf>
    <xf numFmtId="0" fontId="0" fillId="0" borderId="0" xfId="0" applyBorder="1" applyAlignment="1">
      <alignment/>
    </xf>
    <xf numFmtId="0" fontId="15" fillId="45" borderId="106" xfId="48" applyFont="1" applyFill="1" applyBorder="1" applyAlignment="1" applyProtection="1">
      <alignment vertical="center"/>
      <protection/>
    </xf>
    <xf numFmtId="0" fontId="144" fillId="34" borderId="0" xfId="0" applyFont="1" applyFill="1" applyBorder="1" applyAlignment="1" applyProtection="1">
      <alignment vertical="center"/>
      <protection/>
    </xf>
    <xf numFmtId="3" fontId="144" fillId="34" borderId="0" xfId="0" applyNumberFormat="1" applyFont="1" applyFill="1" applyBorder="1" applyAlignment="1" applyProtection="1">
      <alignment vertical="center"/>
      <protection/>
    </xf>
    <xf numFmtId="3" fontId="144" fillId="34" borderId="0" xfId="0" applyNumberFormat="1" applyFont="1" applyFill="1" applyBorder="1" applyAlignment="1" applyProtection="1">
      <alignment horizontal="center" vertical="center"/>
      <protection/>
    </xf>
    <xf numFmtId="9" fontId="0" fillId="0" borderId="0" xfId="0" applyNumberFormat="1" applyAlignment="1">
      <alignment/>
    </xf>
    <xf numFmtId="0" fontId="0" fillId="0" borderId="0" xfId="0" applyFont="1" applyAlignment="1">
      <alignment horizontal="right"/>
    </xf>
    <xf numFmtId="0" fontId="0" fillId="0" borderId="0" xfId="0" applyFont="1" applyAlignment="1">
      <alignment horizontal="right" shrinkToFit="1"/>
    </xf>
    <xf numFmtId="0" fontId="0" fillId="0" borderId="0" xfId="0" applyFont="1" applyAlignment="1" quotePrefix="1">
      <alignment horizontal="right" shrinkToFit="1"/>
    </xf>
    <xf numFmtId="9" fontId="0" fillId="0" borderId="112" xfId="0" applyNumberFormat="1" applyBorder="1" applyAlignment="1">
      <alignment/>
    </xf>
    <xf numFmtId="171" fontId="0" fillId="0" borderId="112" xfId="0" applyNumberFormat="1" applyBorder="1" applyAlignment="1">
      <alignment horizontal="right" shrinkToFit="1"/>
    </xf>
    <xf numFmtId="208" fontId="0" fillId="0" borderId="112" xfId="0" applyNumberFormat="1" applyBorder="1" applyAlignment="1">
      <alignment/>
    </xf>
    <xf numFmtId="209" fontId="0" fillId="0" borderId="112" xfId="0" applyNumberFormat="1" applyBorder="1" applyAlignment="1">
      <alignment horizontal="right" shrinkToFit="1"/>
    </xf>
    <xf numFmtId="0" fontId="0" fillId="39" borderId="0" xfId="0" applyFill="1" applyAlignment="1" applyProtection="1">
      <alignment/>
      <protection/>
    </xf>
    <xf numFmtId="3" fontId="0" fillId="52" borderId="53" xfId="0" applyNumberFormat="1" applyFill="1" applyBorder="1" applyAlignment="1" applyProtection="1">
      <alignment/>
      <protection/>
    </xf>
    <xf numFmtId="3" fontId="0" fillId="52" borderId="112" xfId="0" applyNumberFormat="1" applyFill="1" applyBorder="1" applyAlignment="1" applyProtection="1">
      <alignment/>
      <protection/>
    </xf>
    <xf numFmtId="0" fontId="0" fillId="52" borderId="54" xfId="0" applyFill="1" applyBorder="1" applyAlignment="1" applyProtection="1">
      <alignment/>
      <protection/>
    </xf>
    <xf numFmtId="181" fontId="0" fillId="39" borderId="0" xfId="0" applyNumberFormat="1" applyFill="1" applyAlignment="1" applyProtection="1">
      <alignment horizontal="center"/>
      <protection/>
    </xf>
    <xf numFmtId="0" fontId="0" fillId="53" borderId="0" xfId="0" applyFill="1" applyAlignment="1" applyProtection="1">
      <alignment horizontal="center"/>
      <protection/>
    </xf>
    <xf numFmtId="0" fontId="0" fillId="53" borderId="0" xfId="0" applyFill="1" applyAlignment="1" applyProtection="1">
      <alignment/>
      <protection/>
    </xf>
    <xf numFmtId="2" fontId="0" fillId="39" borderId="0" xfId="0" applyNumberFormat="1" applyFill="1" applyAlignment="1" applyProtection="1">
      <alignment horizontal="center"/>
      <protection/>
    </xf>
    <xf numFmtId="3" fontId="0" fillId="53" borderId="53" xfId="0" applyNumberFormat="1" applyFill="1" applyBorder="1" applyAlignment="1" applyProtection="1">
      <alignment horizontal="center" shrinkToFit="1"/>
      <protection/>
    </xf>
    <xf numFmtId="0" fontId="0" fillId="53" borderId="0" xfId="0" applyFill="1" applyBorder="1" applyAlignment="1" applyProtection="1">
      <alignment/>
      <protection/>
    </xf>
    <xf numFmtId="0" fontId="0" fillId="53" borderId="54" xfId="0" applyFill="1" applyBorder="1" applyAlignment="1" applyProtection="1">
      <alignment/>
      <protection/>
    </xf>
    <xf numFmtId="1" fontId="0" fillId="52" borderId="0" xfId="0" applyNumberFormat="1" applyFill="1" applyAlignment="1" applyProtection="1">
      <alignment horizontal="center"/>
      <protection/>
    </xf>
    <xf numFmtId="164" fontId="0" fillId="53" borderId="0" xfId="0" applyNumberFormat="1" applyFill="1" applyAlignment="1" applyProtection="1">
      <alignment horizontal="center" shrinkToFit="1"/>
      <protection/>
    </xf>
    <xf numFmtId="164" fontId="0" fillId="53" borderId="53" xfId="0" applyNumberFormat="1" applyFill="1" applyBorder="1" applyAlignment="1" applyProtection="1">
      <alignment/>
      <protection/>
    </xf>
    <xf numFmtId="164" fontId="0" fillId="53" borderId="0" xfId="0" applyNumberFormat="1" applyFill="1" applyBorder="1" applyAlignment="1" applyProtection="1">
      <alignment horizontal="center" shrinkToFit="1"/>
      <protection/>
    </xf>
    <xf numFmtId="164" fontId="0" fillId="53" borderId="54" xfId="0" applyNumberFormat="1" applyFill="1" applyBorder="1" applyAlignment="1" applyProtection="1">
      <alignment/>
      <protection/>
    </xf>
    <xf numFmtId="0" fontId="0" fillId="49" borderId="111" xfId="0" applyFont="1" applyFill="1" applyBorder="1" applyAlignment="1" applyProtection="1">
      <alignment vertical="center"/>
      <protection/>
    </xf>
    <xf numFmtId="0" fontId="15" fillId="49" borderId="0" xfId="48" applyFont="1" applyFill="1" applyBorder="1" applyAlignment="1" applyProtection="1">
      <alignment vertical="center"/>
      <protection/>
    </xf>
    <xf numFmtId="0" fontId="0" fillId="49" borderId="0" xfId="48" applyFont="1" applyFill="1" applyBorder="1" applyAlignment="1" applyProtection="1">
      <alignment vertical="center"/>
      <protection/>
    </xf>
    <xf numFmtId="0" fontId="15" fillId="49" borderId="0" xfId="48" applyFont="1" applyFill="1" applyBorder="1" applyAlignment="1" applyProtection="1">
      <alignment/>
      <protection/>
    </xf>
    <xf numFmtId="0" fontId="0" fillId="0" borderId="31" xfId="0" applyFont="1" applyBorder="1" applyAlignment="1">
      <alignment/>
    </xf>
    <xf numFmtId="0" fontId="0" fillId="0" borderId="79" xfId="0" applyBorder="1" applyAlignment="1">
      <alignment/>
    </xf>
    <xf numFmtId="0" fontId="13" fillId="45" borderId="0" xfId="0" applyFont="1" applyFill="1" applyBorder="1" applyAlignment="1" applyProtection="1">
      <alignment horizontal="left" vertical="center"/>
      <protection/>
    </xf>
    <xf numFmtId="0" fontId="3" fillId="45" borderId="0" xfId="0" applyFont="1" applyFill="1" applyBorder="1" applyAlignment="1" applyProtection="1">
      <alignment horizontal="left" vertical="center"/>
      <protection/>
    </xf>
    <xf numFmtId="2" fontId="3" fillId="45" borderId="0" xfId="0" applyNumberFormat="1" applyFont="1" applyFill="1" applyBorder="1" applyAlignment="1" applyProtection="1">
      <alignment horizontal="left" vertical="center"/>
      <protection/>
    </xf>
    <xf numFmtId="2" fontId="13" fillId="45" borderId="0" xfId="0" applyNumberFormat="1" applyFont="1" applyFill="1" applyBorder="1" applyAlignment="1" applyProtection="1" quotePrefix="1">
      <alignment horizontal="left" vertical="center"/>
      <protection/>
    </xf>
    <xf numFmtId="171" fontId="13" fillId="45" borderId="0" xfId="0" applyNumberFormat="1" applyFont="1" applyFill="1" applyBorder="1" applyAlignment="1" applyProtection="1">
      <alignment vertical="center"/>
      <protection/>
    </xf>
    <xf numFmtId="171" fontId="13" fillId="45" borderId="0" xfId="0" applyNumberFormat="1" applyFont="1" applyFill="1" applyBorder="1" applyAlignment="1" applyProtection="1">
      <alignment horizontal="right" vertical="center"/>
      <protection/>
    </xf>
    <xf numFmtId="9" fontId="0" fillId="44" borderId="26" xfId="0" applyNumberFormat="1" applyFill="1" applyBorder="1" applyAlignment="1">
      <alignment horizontal="right"/>
    </xf>
    <xf numFmtId="0" fontId="0" fillId="54" borderId="0" xfId="0" applyFont="1" applyFill="1" applyBorder="1" applyAlignment="1" applyProtection="1">
      <alignment vertical="center"/>
      <protection/>
    </xf>
    <xf numFmtId="0" fontId="0" fillId="54" borderId="106" xfId="0" applyFont="1" applyFill="1" applyBorder="1" applyAlignment="1" applyProtection="1">
      <alignment vertical="center"/>
      <protection/>
    </xf>
    <xf numFmtId="167" fontId="13" fillId="55" borderId="112" xfId="0" applyNumberFormat="1" applyFont="1" applyFill="1" applyBorder="1" applyAlignment="1" applyProtection="1">
      <alignment vertical="center"/>
      <protection locked="0"/>
    </xf>
    <xf numFmtId="0" fontId="13" fillId="56" borderId="31" xfId="0" applyFont="1" applyFill="1" applyBorder="1" applyAlignment="1" applyProtection="1">
      <alignment vertical="center"/>
      <protection/>
    </xf>
    <xf numFmtId="0" fontId="13" fillId="56" borderId="79" xfId="0" applyFont="1" applyFill="1" applyBorder="1" applyAlignment="1" applyProtection="1">
      <alignment vertical="center"/>
      <protection/>
    </xf>
    <xf numFmtId="1" fontId="150" fillId="41" borderId="0" xfId="48" applyNumberFormat="1" applyFont="1" applyFill="1" applyAlignment="1" applyProtection="1">
      <alignment horizontal="center" vertical="center"/>
      <protection locked="0"/>
    </xf>
    <xf numFmtId="3" fontId="0" fillId="44" borderId="28" xfId="0" applyNumberFormat="1" applyFill="1" applyBorder="1" applyAlignment="1">
      <alignment horizontal="right"/>
    </xf>
    <xf numFmtId="166" fontId="13" fillId="55" borderId="112" xfId="0" applyNumberFormat="1" applyFont="1" applyFill="1" applyBorder="1" applyAlignment="1" applyProtection="1">
      <alignment vertical="center"/>
      <protection locked="0"/>
    </xf>
    <xf numFmtId="0" fontId="5" fillId="47" borderId="0" xfId="0" applyFont="1" applyFill="1" applyBorder="1" applyAlignment="1" applyProtection="1">
      <alignment horizontal="right" vertical="center"/>
      <protection/>
    </xf>
    <xf numFmtId="0" fontId="5" fillId="47" borderId="0" xfId="0" applyFont="1" applyFill="1" applyBorder="1" applyAlignment="1" applyProtection="1">
      <alignment vertical="center"/>
      <protection/>
    </xf>
    <xf numFmtId="190" fontId="157" fillId="48" borderId="114" xfId="0" applyNumberFormat="1" applyFont="1" applyFill="1" applyBorder="1" applyAlignment="1" applyProtection="1" quotePrefix="1">
      <alignment vertical="center"/>
      <protection/>
    </xf>
    <xf numFmtId="190" fontId="148" fillId="48" borderId="114" xfId="0" applyNumberFormat="1" applyFont="1" applyFill="1" applyBorder="1" applyAlignment="1" applyProtection="1" quotePrefix="1">
      <alignment vertical="center"/>
      <protection/>
    </xf>
    <xf numFmtId="0" fontId="0" fillId="49" borderId="113" xfId="0" applyFont="1" applyFill="1" applyBorder="1" applyAlignment="1" applyProtection="1">
      <alignment vertical="center"/>
      <protection/>
    </xf>
    <xf numFmtId="190" fontId="13" fillId="49" borderId="113" xfId="0" applyNumberFormat="1" applyFont="1" applyFill="1" applyBorder="1" applyAlignment="1" applyProtection="1">
      <alignment vertical="center"/>
      <protection/>
    </xf>
    <xf numFmtId="2" fontId="9" fillId="49" borderId="113" xfId="0" applyNumberFormat="1" applyFont="1" applyFill="1" applyBorder="1" applyAlignment="1" applyProtection="1">
      <alignment horizontal="center" vertical="center"/>
      <protection/>
    </xf>
    <xf numFmtId="2" fontId="5" fillId="49" borderId="113" xfId="0" applyNumberFormat="1" applyFont="1" applyFill="1" applyBorder="1" applyAlignment="1" applyProtection="1">
      <alignment vertical="center"/>
      <protection/>
    </xf>
    <xf numFmtId="2" fontId="12" fillId="48" borderId="113" xfId="0" applyNumberFormat="1" applyFont="1" applyFill="1" applyBorder="1" applyAlignment="1" applyProtection="1">
      <alignment horizontal="right" vertical="center"/>
      <protection/>
    </xf>
    <xf numFmtId="2" fontId="9" fillId="48" borderId="113" xfId="0" applyNumberFormat="1" applyFont="1" applyFill="1" applyBorder="1" applyAlignment="1" applyProtection="1">
      <alignment horizontal="center" vertical="center"/>
      <protection/>
    </xf>
    <xf numFmtId="2" fontId="154" fillId="48" borderId="113" xfId="0" applyNumberFormat="1" applyFont="1" applyFill="1" applyBorder="1" applyAlignment="1" applyProtection="1">
      <alignment horizontal="center" vertical="center" textRotation="90"/>
      <protection/>
    </xf>
    <xf numFmtId="2" fontId="154" fillId="48" borderId="121" xfId="0" applyNumberFormat="1" applyFont="1" applyFill="1" applyBorder="1" applyAlignment="1" applyProtection="1">
      <alignment horizontal="center" vertical="center" textRotation="90"/>
      <protection/>
    </xf>
    <xf numFmtId="2" fontId="154" fillId="45" borderId="113" xfId="0" applyNumberFormat="1" applyFont="1" applyFill="1" applyBorder="1" applyAlignment="1" applyProtection="1">
      <alignment horizontal="center" vertical="center" textRotation="90"/>
      <protection/>
    </xf>
    <xf numFmtId="0" fontId="3" fillId="45" borderId="113" xfId="0" applyFont="1" applyFill="1" applyBorder="1" applyAlignment="1" applyProtection="1">
      <alignment vertical="center"/>
      <protection/>
    </xf>
    <xf numFmtId="0" fontId="3" fillId="45" borderId="111" xfId="0" applyFont="1" applyFill="1" applyBorder="1" applyAlignment="1" applyProtection="1">
      <alignment vertical="center"/>
      <protection/>
    </xf>
    <xf numFmtId="0" fontId="0" fillId="45" borderId="113" xfId="0" applyFont="1" applyFill="1" applyBorder="1" applyAlignment="1" applyProtection="1">
      <alignment vertical="center"/>
      <protection/>
    </xf>
    <xf numFmtId="0" fontId="0" fillId="45" borderId="121" xfId="0" applyFont="1" applyFill="1" applyBorder="1" applyAlignment="1" applyProtection="1">
      <alignment vertical="center"/>
      <protection/>
    </xf>
    <xf numFmtId="0" fontId="0" fillId="45" borderId="122" xfId="0" applyFont="1" applyFill="1" applyBorder="1" applyAlignment="1" applyProtection="1">
      <alignment vertical="center"/>
      <protection/>
    </xf>
    <xf numFmtId="2" fontId="4" fillId="45" borderId="0" xfId="0" applyNumberFormat="1" applyFont="1" applyFill="1" applyBorder="1" applyAlignment="1" applyProtection="1">
      <alignment vertical="center"/>
      <protection/>
    </xf>
    <xf numFmtId="2" fontId="33" fillId="48" borderId="112" xfId="0" applyNumberFormat="1" applyFont="1" applyFill="1" applyBorder="1" applyAlignment="1" applyProtection="1">
      <alignment horizontal="left" vertical="center"/>
      <protection/>
    </xf>
    <xf numFmtId="2" fontId="154" fillId="45" borderId="121" xfId="0" applyNumberFormat="1" applyFont="1" applyFill="1" applyBorder="1" applyAlignment="1" applyProtection="1">
      <alignment horizontal="center" vertical="center" textRotation="90"/>
      <protection/>
    </xf>
    <xf numFmtId="190" fontId="155" fillId="49" borderId="0" xfId="0" applyNumberFormat="1" applyFont="1" applyFill="1" applyBorder="1" applyAlignment="1" applyProtection="1">
      <alignment horizontal="center" vertical="center" shrinkToFit="1"/>
      <protection/>
    </xf>
    <xf numFmtId="190" fontId="13" fillId="49" borderId="0" xfId="0" applyNumberFormat="1" applyFont="1" applyFill="1" applyBorder="1" applyAlignment="1" applyProtection="1">
      <alignment vertical="center"/>
      <protection/>
    </xf>
    <xf numFmtId="2" fontId="5" fillId="49" borderId="0" xfId="0" applyNumberFormat="1" applyFont="1" applyFill="1" applyBorder="1" applyAlignment="1" applyProtection="1">
      <alignment vertical="center"/>
      <protection/>
    </xf>
    <xf numFmtId="2" fontId="12" fillId="48" borderId="0" xfId="0" applyNumberFormat="1" applyFont="1" applyFill="1" applyBorder="1" applyAlignment="1" applyProtection="1">
      <alignment horizontal="right" vertical="center"/>
      <protection/>
    </xf>
    <xf numFmtId="2" fontId="9" fillId="48" borderId="0" xfId="0" applyNumberFormat="1" applyFont="1" applyFill="1" applyBorder="1" applyAlignment="1" applyProtection="1">
      <alignment horizontal="center" vertical="center"/>
      <protection/>
    </xf>
    <xf numFmtId="0" fontId="147" fillId="45" borderId="0" xfId="0" applyFont="1" applyFill="1" applyBorder="1" applyAlignment="1" applyProtection="1">
      <alignment horizontal="left" vertical="center"/>
      <protection/>
    </xf>
    <xf numFmtId="0" fontId="0" fillId="45" borderId="0" xfId="0" applyFont="1" applyFill="1" applyBorder="1" applyAlignment="1" applyProtection="1">
      <alignment horizontal="left" vertical="center"/>
      <protection/>
    </xf>
    <xf numFmtId="0" fontId="145" fillId="45" borderId="0" xfId="0" applyFont="1" applyFill="1" applyBorder="1" applyAlignment="1" applyProtection="1">
      <alignment horizontal="left" vertical="center"/>
      <protection/>
    </xf>
    <xf numFmtId="171" fontId="12" fillId="45" borderId="106" xfId="0" applyNumberFormat="1" applyFont="1" applyFill="1" applyBorder="1" applyAlignment="1" applyProtection="1">
      <alignment horizontal="right" vertical="center" shrinkToFit="1"/>
      <protection/>
    </xf>
    <xf numFmtId="171" fontId="12" fillId="45" borderId="111" xfId="0" applyNumberFormat="1" applyFont="1" applyFill="1" applyBorder="1" applyAlignment="1" applyProtection="1">
      <alignment horizontal="right" vertical="center" shrinkToFit="1"/>
      <protection/>
    </xf>
    <xf numFmtId="171" fontId="12" fillId="45" borderId="122" xfId="0" applyNumberFormat="1" applyFont="1" applyFill="1" applyBorder="1" applyAlignment="1" applyProtection="1">
      <alignment horizontal="right" vertical="center" shrinkToFit="1"/>
      <protection/>
    </xf>
    <xf numFmtId="175" fontId="13" fillId="45" borderId="0" xfId="0" applyNumberFormat="1" applyFont="1" applyFill="1" applyBorder="1" applyAlignment="1" applyProtection="1">
      <alignment horizontal="right" vertical="center" shrinkToFit="1"/>
      <protection/>
    </xf>
    <xf numFmtId="0" fontId="0" fillId="45" borderId="0" xfId="0" applyFont="1" applyFill="1" applyBorder="1" applyAlignment="1" applyProtection="1">
      <alignment horizontal="right" vertical="center"/>
      <protection/>
    </xf>
    <xf numFmtId="0" fontId="150" fillId="41" borderId="0" xfId="0" applyFont="1" applyFill="1" applyAlignment="1" applyProtection="1">
      <alignment horizontal="center" vertical="center"/>
      <protection locked="0"/>
    </xf>
    <xf numFmtId="3" fontId="150" fillId="41" borderId="0" xfId="48" applyNumberFormat="1" applyFont="1" applyFill="1" applyAlignment="1" applyProtection="1">
      <alignment horizontal="center" vertical="center"/>
      <protection locked="0"/>
    </xf>
    <xf numFmtId="2" fontId="9" fillId="45" borderId="0" xfId="0" applyNumberFormat="1" applyFont="1" applyFill="1" applyBorder="1" applyAlignment="1" applyProtection="1">
      <alignment horizontal="left" vertical="center"/>
      <protection/>
    </xf>
    <xf numFmtId="0" fontId="0" fillId="54" borderId="0" xfId="0" applyFont="1" applyFill="1" applyBorder="1" applyAlignment="1" applyProtection="1">
      <alignment horizontal="right" vertical="center"/>
      <protection/>
    </xf>
    <xf numFmtId="0" fontId="6" fillId="45" borderId="0" xfId="0" applyFont="1" applyFill="1" applyBorder="1" applyAlignment="1" applyProtection="1">
      <alignment horizontal="left" vertical="center"/>
      <protection/>
    </xf>
    <xf numFmtId="201" fontId="6" fillId="45" borderId="0" xfId="0" applyNumberFormat="1" applyFont="1" applyFill="1" applyBorder="1" applyAlignment="1" applyProtection="1">
      <alignment vertical="center" shrinkToFit="1"/>
      <protection/>
    </xf>
    <xf numFmtId="0" fontId="6" fillId="45" borderId="0" xfId="0" applyFont="1" applyFill="1" applyBorder="1" applyAlignment="1" applyProtection="1">
      <alignment horizontal="right" vertical="center"/>
      <protection/>
    </xf>
    <xf numFmtId="0" fontId="8" fillId="57" borderId="108" xfId="48" applyFont="1" applyFill="1" applyBorder="1" applyAlignment="1" applyProtection="1">
      <alignment horizontal="left" vertical="center"/>
      <protection/>
    </xf>
    <xf numFmtId="0" fontId="8" fillId="57" borderId="109" xfId="48" applyFont="1" applyFill="1" applyBorder="1" applyAlignment="1" applyProtection="1">
      <alignment horizontal="left" vertical="center"/>
      <protection/>
    </xf>
    <xf numFmtId="0" fontId="8" fillId="57" borderId="110" xfId="48" applyFont="1" applyFill="1" applyBorder="1" applyAlignment="1" applyProtection="1">
      <alignment horizontal="left" vertical="center"/>
      <protection/>
    </xf>
    <xf numFmtId="0" fontId="0" fillId="54" borderId="113" xfId="0" applyFont="1" applyFill="1" applyBorder="1" applyAlignment="1" applyProtection="1">
      <alignment vertical="center"/>
      <protection/>
    </xf>
    <xf numFmtId="0" fontId="0" fillId="54" borderId="111" xfId="0" applyFont="1" applyFill="1" applyBorder="1" applyAlignment="1" applyProtection="1">
      <alignment vertical="center"/>
      <protection/>
    </xf>
    <xf numFmtId="0" fontId="0" fillId="54" borderId="121" xfId="0" applyFont="1" applyFill="1" applyBorder="1" applyAlignment="1" applyProtection="1">
      <alignment vertical="center"/>
      <protection/>
    </xf>
    <xf numFmtId="0" fontId="0" fillId="54" borderId="122" xfId="0" applyFont="1" applyFill="1" applyBorder="1" applyAlignment="1" applyProtection="1">
      <alignment vertical="center"/>
      <protection/>
    </xf>
    <xf numFmtId="0" fontId="8" fillId="46" borderId="123" xfId="48" applyFont="1" applyFill="1" applyBorder="1" applyAlignment="1" applyProtection="1">
      <alignment horizontal="left" vertical="center"/>
      <protection/>
    </xf>
    <xf numFmtId="0" fontId="158" fillId="45" borderId="113" xfId="48" applyFont="1" applyFill="1" applyBorder="1" applyAlignment="1" applyProtection="1">
      <alignment horizontal="center"/>
      <protection/>
    </xf>
    <xf numFmtId="0" fontId="159" fillId="45" borderId="113" xfId="48" applyFont="1" applyFill="1" applyBorder="1" applyAlignment="1" applyProtection="1">
      <alignment horizontal="left" vertical="center"/>
      <protection/>
    </xf>
    <xf numFmtId="0" fontId="160" fillId="45" borderId="121" xfId="48" applyFont="1" applyFill="1" applyBorder="1" applyAlignment="1" applyProtection="1">
      <alignment horizontal="left" vertical="center"/>
      <protection/>
    </xf>
    <xf numFmtId="0" fontId="160" fillId="45" borderId="113" xfId="48" applyFont="1" applyFill="1" applyBorder="1" applyAlignment="1" applyProtection="1">
      <alignment horizontal="left" vertical="center"/>
      <protection/>
    </xf>
    <xf numFmtId="2" fontId="12" fillId="49" borderId="0" xfId="0" applyNumberFormat="1" applyFont="1" applyFill="1" applyBorder="1" applyAlignment="1" applyProtection="1">
      <alignment vertical="top"/>
      <protection/>
    </xf>
    <xf numFmtId="168" fontId="13" fillId="45" borderId="111" xfId="0" applyNumberFormat="1" applyFont="1" applyFill="1" applyBorder="1" applyAlignment="1" applyProtection="1">
      <alignment vertical="center"/>
      <protection/>
    </xf>
    <xf numFmtId="0" fontId="0" fillId="58" borderId="111" xfId="0" applyFont="1" applyFill="1" applyBorder="1" applyAlignment="1" applyProtection="1">
      <alignment vertical="center"/>
      <protection/>
    </xf>
    <xf numFmtId="175" fontId="4" fillId="45" borderId="111" xfId="0" applyNumberFormat="1" applyFont="1" applyFill="1" applyBorder="1" applyAlignment="1" applyProtection="1">
      <alignment vertical="center" shrinkToFit="1"/>
      <protection/>
    </xf>
    <xf numFmtId="0" fontId="21" fillId="45" borderId="111" xfId="48" applyFont="1" applyFill="1" applyBorder="1" applyAlignment="1" applyProtection="1">
      <alignment vertical="center"/>
      <protection/>
    </xf>
    <xf numFmtId="0" fontId="0" fillId="54" borderId="106" xfId="0" applyFont="1" applyFill="1" applyBorder="1" applyAlignment="1" applyProtection="1">
      <alignment horizontal="right" vertical="center"/>
      <protection/>
    </xf>
    <xf numFmtId="169" fontId="13" fillId="45" borderId="0" xfId="0" applyNumberFormat="1" applyFont="1" applyFill="1" applyBorder="1" applyAlignment="1" applyProtection="1">
      <alignment horizontal="left" vertical="center"/>
      <protection/>
    </xf>
    <xf numFmtId="0" fontId="13" fillId="0" borderId="0" xfId="0" applyFont="1" applyAlignment="1" applyProtection="1">
      <alignment horizontal="center" vertical="center"/>
      <protection/>
    </xf>
    <xf numFmtId="165" fontId="0" fillId="0" borderId="0" xfId="0" applyNumberFormat="1" applyAlignment="1">
      <alignment/>
    </xf>
    <xf numFmtId="0" fontId="0" fillId="49" borderId="0" xfId="48" applyFont="1" applyFill="1" applyBorder="1" applyAlignment="1" applyProtection="1">
      <alignment/>
      <protection/>
    </xf>
    <xf numFmtId="190" fontId="0" fillId="41" borderId="0" xfId="0" applyNumberFormat="1" applyFont="1" applyFill="1" applyAlignment="1" applyProtection="1">
      <alignment vertical="center"/>
      <protection locked="0"/>
    </xf>
    <xf numFmtId="2" fontId="12" fillId="49" borderId="113" xfId="0" applyNumberFormat="1" applyFont="1" applyFill="1" applyBorder="1" applyAlignment="1" applyProtection="1">
      <alignment vertical="top"/>
      <protection/>
    </xf>
    <xf numFmtId="0" fontId="15" fillId="49" borderId="121" xfId="48" applyFont="1" applyFill="1" applyBorder="1" applyAlignment="1" applyProtection="1">
      <alignment/>
      <protection/>
    </xf>
    <xf numFmtId="0" fontId="15" fillId="49" borderId="106" xfId="48" applyFont="1" applyFill="1" applyBorder="1" applyAlignment="1" applyProtection="1">
      <alignment/>
      <protection/>
    </xf>
    <xf numFmtId="0" fontId="0" fillId="49" borderId="122" xfId="0" applyFont="1" applyFill="1" applyBorder="1" applyAlignment="1" applyProtection="1">
      <alignment vertical="center"/>
      <protection/>
    </xf>
    <xf numFmtId="0" fontId="15" fillId="45" borderId="113" xfId="48" applyFont="1" applyFill="1" applyBorder="1" applyAlignment="1" applyProtection="1">
      <alignment vertical="center"/>
      <protection/>
    </xf>
    <xf numFmtId="0" fontId="15" fillId="45" borderId="111" xfId="48" applyFont="1" applyFill="1" applyBorder="1" applyAlignment="1" applyProtection="1">
      <alignment vertical="center"/>
      <protection/>
    </xf>
    <xf numFmtId="2" fontId="3" fillId="45" borderId="0" xfId="0" applyNumberFormat="1" applyFont="1" applyFill="1" applyBorder="1" applyAlignment="1" applyProtection="1">
      <alignment horizontal="left" vertical="center" indent="1" shrinkToFit="1"/>
      <protection/>
    </xf>
    <xf numFmtId="0" fontId="3" fillId="45" borderId="0" xfId="0" applyFont="1" applyFill="1" applyBorder="1" applyAlignment="1" applyProtection="1">
      <alignment horizontal="left" vertical="center" indent="1"/>
      <protection/>
    </xf>
    <xf numFmtId="184" fontId="3" fillId="45" borderId="0" xfId="0" applyNumberFormat="1" applyFont="1" applyFill="1" applyBorder="1" applyAlignment="1" applyProtection="1">
      <alignment vertical="center" shrinkToFit="1"/>
      <protection/>
    </xf>
    <xf numFmtId="175" fontId="3" fillId="45" borderId="0" xfId="0" applyNumberFormat="1" applyFont="1" applyFill="1" applyBorder="1" applyAlignment="1" applyProtection="1">
      <alignment horizontal="right" vertical="center"/>
      <protection/>
    </xf>
    <xf numFmtId="0" fontId="3" fillId="45" borderId="0" xfId="48" applyFont="1" applyFill="1" applyBorder="1" applyAlignment="1" applyProtection="1">
      <alignment vertical="center"/>
      <protection/>
    </xf>
    <xf numFmtId="196" fontId="3" fillId="45" borderId="0" xfId="0" applyNumberFormat="1" applyFont="1" applyFill="1" applyBorder="1" applyAlignment="1" applyProtection="1">
      <alignment vertical="center"/>
      <protection/>
    </xf>
    <xf numFmtId="0" fontId="35" fillId="45" borderId="0" xfId="0" applyFont="1" applyFill="1" applyBorder="1" applyAlignment="1" applyProtection="1">
      <alignment vertical="center"/>
      <protection/>
    </xf>
    <xf numFmtId="2" fontId="3" fillId="45" borderId="0" xfId="0" applyNumberFormat="1" applyFont="1" applyFill="1" applyBorder="1" applyAlignment="1" applyProtection="1">
      <alignment vertical="center" shrinkToFit="1"/>
      <protection/>
    </xf>
    <xf numFmtId="0" fontId="3" fillId="45" borderId="0" xfId="48" applyFont="1" applyFill="1" applyBorder="1" applyAlignment="1" applyProtection="1">
      <alignment horizontal="left" vertical="center"/>
      <protection/>
    </xf>
    <xf numFmtId="0" fontId="0" fillId="59" borderId="0" xfId="0" applyFont="1" applyFill="1" applyBorder="1" applyAlignment="1" applyProtection="1">
      <alignment vertical="center"/>
      <protection/>
    </xf>
    <xf numFmtId="0" fontId="15" fillId="59" borderId="0" xfId="48" applyFont="1" applyFill="1" applyBorder="1" applyAlignment="1" applyProtection="1">
      <alignment vertical="center"/>
      <protection/>
    </xf>
    <xf numFmtId="0" fontId="161" fillId="45" borderId="121" xfId="0" applyFont="1" applyFill="1" applyBorder="1" applyAlignment="1" applyProtection="1">
      <alignment vertical="center"/>
      <protection/>
    </xf>
    <xf numFmtId="2" fontId="11" fillId="45" borderId="106" xfId="0" applyNumberFormat="1" applyFont="1" applyFill="1" applyBorder="1" applyAlignment="1" applyProtection="1" quotePrefix="1">
      <alignment vertical="center"/>
      <protection/>
    </xf>
    <xf numFmtId="0" fontId="13" fillId="45" borderId="106" xfId="0" applyFont="1" applyFill="1" applyBorder="1" applyAlignment="1" applyProtection="1">
      <alignment vertical="center"/>
      <protection/>
    </xf>
    <xf numFmtId="175" fontId="9" fillId="45" borderId="106" xfId="0" applyNumberFormat="1" applyFont="1" applyFill="1" applyBorder="1" applyAlignment="1" applyProtection="1">
      <alignment vertical="center"/>
      <protection/>
    </xf>
    <xf numFmtId="0" fontId="4" fillId="49" borderId="113" xfId="0" applyFont="1" applyFill="1" applyBorder="1" applyAlignment="1" applyProtection="1">
      <alignment vertical="center" textRotation="90"/>
      <protection/>
    </xf>
    <xf numFmtId="0" fontId="4" fillId="49" borderId="0" xfId="0" applyFont="1" applyFill="1" applyBorder="1" applyAlignment="1" applyProtection="1">
      <alignment vertical="center" textRotation="90"/>
      <protection/>
    </xf>
    <xf numFmtId="0" fontId="0" fillId="59" borderId="0" xfId="48" applyFont="1" applyFill="1" applyBorder="1" applyAlignment="1" applyProtection="1">
      <alignment/>
      <protection/>
    </xf>
    <xf numFmtId="0" fontId="0" fillId="41" borderId="0" xfId="0" applyFont="1" applyFill="1" applyBorder="1" applyAlignment="1" applyProtection="1">
      <alignment vertical="center"/>
      <protection/>
    </xf>
    <xf numFmtId="0" fontId="3" fillId="45" borderId="113" xfId="0" applyFont="1" applyFill="1" applyBorder="1" applyAlignment="1" applyProtection="1">
      <alignment vertical="center" textRotation="90" wrapText="1"/>
      <protection/>
    </xf>
    <xf numFmtId="0" fontId="3" fillId="45" borderId="113" xfId="0" applyFont="1" applyFill="1" applyBorder="1" applyAlignment="1" applyProtection="1">
      <alignment vertical="center" textRotation="90"/>
      <protection/>
    </xf>
    <xf numFmtId="0" fontId="0" fillId="49" borderId="0" xfId="48" applyFont="1" applyFill="1" applyBorder="1" applyAlignment="1" applyProtection="1">
      <alignment horizontal="center"/>
      <protection/>
    </xf>
    <xf numFmtId="0" fontId="162" fillId="45" borderId="0" xfId="0" applyFont="1" applyFill="1" applyBorder="1" applyAlignment="1" applyProtection="1">
      <alignment horizontal="right" vertical="center"/>
      <protection/>
    </xf>
    <xf numFmtId="0" fontId="0" fillId="49" borderId="0" xfId="0" applyFont="1" applyFill="1" applyBorder="1" applyAlignment="1" applyProtection="1">
      <alignment horizontal="center" vertical="center"/>
      <protection/>
    </xf>
    <xf numFmtId="215" fontId="18" fillId="37" borderId="37" xfId="0" applyNumberFormat="1" applyFont="1" applyFill="1" applyBorder="1" applyAlignment="1" applyProtection="1">
      <alignment horizontal="center" vertical="center" shrinkToFit="1"/>
      <protection/>
    </xf>
    <xf numFmtId="216" fontId="18" fillId="37" borderId="37" xfId="0" applyNumberFormat="1" applyFont="1" applyFill="1" applyBorder="1" applyAlignment="1" applyProtection="1">
      <alignment horizontal="center" vertical="center" shrinkToFit="1"/>
      <protection/>
    </xf>
    <xf numFmtId="164" fontId="0" fillId="44" borderId="24" xfId="0" applyNumberFormat="1" applyFont="1" applyFill="1" applyBorder="1" applyAlignment="1" applyProtection="1">
      <alignment horizontal="center" vertical="center"/>
      <protection locked="0"/>
    </xf>
    <xf numFmtId="0" fontId="0" fillId="46" borderId="0" xfId="0" applyFont="1" applyFill="1" applyAlignment="1" applyProtection="1">
      <alignment vertical="center"/>
      <protection/>
    </xf>
    <xf numFmtId="0" fontId="0" fillId="46" borderId="0" xfId="0" applyFont="1" applyFill="1" applyAlignment="1" applyProtection="1">
      <alignment horizontal="center" vertical="center"/>
      <protection/>
    </xf>
    <xf numFmtId="0" fontId="0" fillId="46" borderId="124" xfId="0" applyFont="1" applyFill="1" applyBorder="1" applyAlignment="1" applyProtection="1">
      <alignment vertical="center"/>
      <protection/>
    </xf>
    <xf numFmtId="0" fontId="0" fillId="55" borderId="125" xfId="48" applyFont="1" applyFill="1" applyBorder="1" applyAlignment="1" applyProtection="1">
      <alignment vertical="center"/>
      <protection/>
    </xf>
    <xf numFmtId="0" fontId="163" fillId="46" borderId="0" xfId="0" applyFont="1" applyFill="1" applyBorder="1" applyAlignment="1" applyProtection="1">
      <alignment vertical="center" wrapText="1"/>
      <protection/>
    </xf>
    <xf numFmtId="0" fontId="164" fillId="44" borderId="126" xfId="48" applyFont="1" applyFill="1" applyBorder="1" applyAlignment="1" applyProtection="1">
      <alignment vertical="top" wrapText="1"/>
      <protection/>
    </xf>
    <xf numFmtId="0" fontId="164" fillId="44" borderId="127" xfId="48" applyFont="1" applyFill="1" applyBorder="1" applyAlignment="1" applyProtection="1">
      <alignment vertical="top" wrapText="1"/>
      <protection/>
    </xf>
    <xf numFmtId="3" fontId="13" fillId="44" borderId="0" xfId="0" applyNumberFormat="1" applyFont="1" applyFill="1" applyBorder="1" applyAlignment="1" applyProtection="1">
      <alignment horizontal="right" vertical="center"/>
      <protection locked="0"/>
    </xf>
    <xf numFmtId="0" fontId="0" fillId="46" borderId="108" xfId="48" applyFont="1" applyFill="1" applyBorder="1" applyAlignment="1" applyProtection="1">
      <alignment vertical="center"/>
      <protection/>
    </xf>
    <xf numFmtId="0" fontId="3" fillId="45" borderId="121" xfId="0" applyFont="1" applyFill="1" applyBorder="1" applyAlignment="1" applyProtection="1">
      <alignment vertical="center"/>
      <protection/>
    </xf>
    <xf numFmtId="0" fontId="3" fillId="45" borderId="106" xfId="0" applyFont="1" applyFill="1" applyBorder="1" applyAlignment="1" applyProtection="1">
      <alignment vertical="center"/>
      <protection/>
    </xf>
    <xf numFmtId="0" fontId="3" fillId="45" borderId="122" xfId="0" applyFont="1" applyFill="1" applyBorder="1" applyAlignment="1" applyProtection="1">
      <alignment vertical="center"/>
      <protection/>
    </xf>
    <xf numFmtId="2" fontId="13" fillId="45" borderId="0" xfId="0" applyNumberFormat="1" applyFont="1" applyFill="1" applyBorder="1" applyAlignment="1" applyProtection="1">
      <alignment horizontal="left" vertical="center"/>
      <protection/>
    </xf>
    <xf numFmtId="0" fontId="0" fillId="49" borderId="113" xfId="48" applyFont="1" applyFill="1" applyBorder="1" applyAlignment="1" applyProtection="1">
      <alignment vertical="center"/>
      <protection/>
    </xf>
    <xf numFmtId="0" fontId="0" fillId="49" borderId="111" xfId="48" applyFont="1" applyFill="1" applyBorder="1" applyAlignment="1" applyProtection="1">
      <alignment vertical="center"/>
      <protection/>
    </xf>
    <xf numFmtId="0" fontId="5" fillId="60" borderId="106" xfId="0" applyFont="1" applyFill="1" applyBorder="1" applyAlignment="1" applyProtection="1">
      <alignment vertical="center"/>
      <protection/>
    </xf>
    <xf numFmtId="0" fontId="165" fillId="61" borderId="0" xfId="0" applyFont="1" applyFill="1" applyBorder="1" applyAlignment="1" applyProtection="1">
      <alignment vertical="center"/>
      <protection/>
    </xf>
    <xf numFmtId="0" fontId="166" fillId="61" borderId="121" xfId="0" applyFont="1" applyFill="1" applyBorder="1" applyAlignment="1" applyProtection="1">
      <alignment vertical="center"/>
      <protection/>
    </xf>
    <xf numFmtId="0" fontId="166" fillId="61" borderId="106" xfId="0" applyFont="1" applyFill="1" applyBorder="1" applyAlignment="1" applyProtection="1">
      <alignment vertical="center"/>
      <protection/>
    </xf>
    <xf numFmtId="0" fontId="8" fillId="62" borderId="0" xfId="48" applyFont="1" applyFill="1" applyAlignment="1" applyProtection="1">
      <alignment horizontal="left" vertical="center"/>
      <protection/>
    </xf>
    <xf numFmtId="0" fontId="0" fillId="62" borderId="0" xfId="48" applyFont="1" applyFill="1" applyAlignment="1" applyProtection="1">
      <alignment vertical="center"/>
      <protection/>
    </xf>
    <xf numFmtId="2" fontId="154" fillId="45" borderId="113" xfId="0" applyNumberFormat="1" applyFont="1" applyFill="1" applyBorder="1" applyAlignment="1" applyProtection="1">
      <alignment vertical="center" textRotation="90"/>
      <protection/>
    </xf>
    <xf numFmtId="2" fontId="154" fillId="45" borderId="0" xfId="0" applyNumberFormat="1" applyFont="1" applyFill="1" applyBorder="1" applyAlignment="1" applyProtection="1">
      <alignment vertical="center" textRotation="90"/>
      <protection/>
    </xf>
    <xf numFmtId="2" fontId="154" fillId="45" borderId="111" xfId="0" applyNumberFormat="1" applyFont="1" applyFill="1" applyBorder="1" applyAlignment="1" applyProtection="1">
      <alignment vertical="center" textRotation="90"/>
      <protection/>
    </xf>
    <xf numFmtId="2" fontId="154" fillId="45" borderId="121" xfId="0" applyNumberFormat="1" applyFont="1" applyFill="1" applyBorder="1" applyAlignment="1" applyProtection="1">
      <alignment vertical="center" textRotation="90"/>
      <protection/>
    </xf>
    <xf numFmtId="2" fontId="154" fillId="45" borderId="106" xfId="0" applyNumberFormat="1" applyFont="1" applyFill="1" applyBorder="1" applyAlignment="1" applyProtection="1">
      <alignment vertical="center" textRotation="90"/>
      <protection/>
    </xf>
    <xf numFmtId="2" fontId="154" fillId="45" borderId="122" xfId="0" applyNumberFormat="1" applyFont="1" applyFill="1" applyBorder="1" applyAlignment="1" applyProtection="1">
      <alignment vertical="center" textRotation="90"/>
      <protection/>
    </xf>
    <xf numFmtId="168" fontId="5" fillId="63" borderId="0" xfId="0" applyNumberFormat="1" applyFont="1" applyFill="1" applyBorder="1" applyAlignment="1" applyProtection="1">
      <alignment vertical="center"/>
      <protection/>
    </xf>
    <xf numFmtId="2" fontId="160" fillId="45" borderId="0" xfId="0" applyNumberFormat="1" applyFont="1" applyFill="1" applyBorder="1" applyAlignment="1" applyProtection="1">
      <alignment vertical="center" textRotation="90"/>
      <protection/>
    </xf>
    <xf numFmtId="0" fontId="13" fillId="45" borderId="0" xfId="0" applyFont="1" applyFill="1" applyBorder="1" applyAlignment="1" applyProtection="1">
      <alignment horizontal="left" vertical="center" indent="1"/>
      <protection/>
    </xf>
    <xf numFmtId="2" fontId="154" fillId="45" borderId="0" xfId="0" applyNumberFormat="1" applyFont="1" applyFill="1" applyBorder="1" applyAlignment="1" applyProtection="1">
      <alignment horizontal="left" vertical="center" indent="1"/>
      <protection/>
    </xf>
    <xf numFmtId="2" fontId="13" fillId="45" borderId="0" xfId="0" applyNumberFormat="1" applyFont="1" applyFill="1" applyBorder="1" applyAlignment="1" applyProtection="1" quotePrefix="1">
      <alignment horizontal="left" vertical="center" indent="1"/>
      <protection/>
    </xf>
    <xf numFmtId="2" fontId="13" fillId="45" borderId="0" xfId="0" applyNumberFormat="1" applyFont="1" applyFill="1" applyBorder="1" applyAlignment="1" applyProtection="1">
      <alignment horizontal="left" vertical="center" indent="1"/>
      <protection/>
    </xf>
    <xf numFmtId="2" fontId="9" fillId="45" borderId="0" xfId="0" applyNumberFormat="1" applyFont="1" applyFill="1" applyBorder="1" applyAlignment="1" applyProtection="1">
      <alignment horizontal="left" vertical="center" indent="1"/>
      <protection/>
    </xf>
    <xf numFmtId="0" fontId="3" fillId="47" borderId="0" xfId="0" applyFont="1" applyFill="1" applyBorder="1" applyAlignment="1" applyProtection="1">
      <alignment horizontal="right" vertical="center"/>
      <protection/>
    </xf>
    <xf numFmtId="2" fontId="154" fillId="45" borderId="0" xfId="0" applyNumberFormat="1" applyFont="1" applyFill="1" applyBorder="1" applyAlignment="1" applyProtection="1">
      <alignment horizontal="left" vertical="center"/>
      <protection/>
    </xf>
    <xf numFmtId="196" fontId="13" fillId="45" borderId="0" xfId="0" applyNumberFormat="1" applyFont="1" applyFill="1" applyBorder="1" applyAlignment="1" applyProtection="1">
      <alignment horizontal="right" vertical="center"/>
      <protection/>
    </xf>
    <xf numFmtId="2" fontId="160" fillId="45" borderId="106" xfId="0" applyNumberFormat="1" applyFont="1" applyFill="1" applyBorder="1" applyAlignment="1" applyProtection="1">
      <alignment vertical="center" textRotation="90"/>
      <protection/>
    </xf>
    <xf numFmtId="0" fontId="146" fillId="45" borderId="0" xfId="0" applyFont="1" applyFill="1" applyBorder="1" applyAlignment="1" applyProtection="1">
      <alignment horizontal="left" vertical="center" indent="1"/>
      <protection/>
    </xf>
    <xf numFmtId="165" fontId="4" fillId="44" borderId="0" xfId="0" applyNumberFormat="1" applyFont="1" applyFill="1" applyBorder="1" applyAlignment="1" applyProtection="1">
      <alignment horizontal="center" vertical="center"/>
      <protection locked="0"/>
    </xf>
    <xf numFmtId="196" fontId="13" fillId="45" borderId="0" xfId="0" applyNumberFormat="1" applyFont="1" applyFill="1" applyBorder="1" applyAlignment="1" applyProtection="1">
      <alignment horizontal="right" vertical="center" shrinkToFit="1"/>
      <protection/>
    </xf>
    <xf numFmtId="2" fontId="13" fillId="45" borderId="0" xfId="0" applyNumberFormat="1" applyFont="1" applyFill="1" applyBorder="1" applyAlignment="1" applyProtection="1">
      <alignment horizontal="left" vertical="center"/>
      <protection/>
    </xf>
    <xf numFmtId="2" fontId="4" fillId="45" borderId="0" xfId="0" applyNumberFormat="1" applyFont="1" applyFill="1" applyBorder="1" applyAlignment="1" applyProtection="1" quotePrefix="1">
      <alignment horizontal="left" vertical="center"/>
      <protection/>
    </xf>
    <xf numFmtId="171" fontId="13" fillId="41" borderId="31" xfId="0" applyNumberFormat="1" applyFont="1" applyFill="1" applyBorder="1" applyAlignment="1" applyProtection="1">
      <alignment horizontal="right" vertical="center" indent="1" shrinkToFit="1"/>
      <protection/>
    </xf>
    <xf numFmtId="171" fontId="13" fillId="41" borderId="29" xfId="0" applyNumberFormat="1" applyFont="1" applyFill="1" applyBorder="1" applyAlignment="1" applyProtection="1">
      <alignment horizontal="right" vertical="center" indent="1" shrinkToFit="1"/>
      <protection/>
    </xf>
    <xf numFmtId="0" fontId="4" fillId="47" borderId="0" xfId="0" applyFont="1" applyFill="1" applyBorder="1" applyAlignment="1" applyProtection="1">
      <alignment vertical="center"/>
      <protection/>
    </xf>
    <xf numFmtId="0" fontId="4" fillId="47" borderId="0" xfId="0" applyFont="1" applyFill="1" applyBorder="1" applyAlignment="1" applyProtection="1">
      <alignment horizontal="right" vertical="center"/>
      <protection/>
    </xf>
    <xf numFmtId="0" fontId="4" fillId="47" borderId="111" xfId="0" applyFont="1" applyFill="1" applyBorder="1" applyAlignment="1" applyProtection="1">
      <alignment vertical="center"/>
      <protection/>
    </xf>
    <xf numFmtId="168" fontId="4" fillId="47" borderId="0" xfId="0" applyNumberFormat="1" applyFont="1" applyFill="1" applyBorder="1" applyAlignment="1" applyProtection="1">
      <alignment vertical="center"/>
      <protection/>
    </xf>
    <xf numFmtId="0" fontId="0" fillId="64" borderId="0" xfId="0" applyFont="1" applyFill="1" applyAlignment="1" applyProtection="1">
      <alignment vertical="center"/>
      <protection/>
    </xf>
    <xf numFmtId="0" fontId="0" fillId="64" borderId="0" xfId="0" applyFont="1" applyFill="1" applyAlignment="1" applyProtection="1">
      <alignment horizontal="center" vertical="center"/>
      <protection locked="0"/>
    </xf>
    <xf numFmtId="0" fontId="15" fillId="64" borderId="0" xfId="48" applyFont="1" applyFill="1" applyAlignment="1" applyProtection="1">
      <alignment vertical="center"/>
      <protection/>
    </xf>
    <xf numFmtId="0" fontId="0" fillId="64" borderId="0" xfId="48" applyFont="1" applyFill="1" applyAlignment="1" applyProtection="1">
      <alignment vertical="center"/>
      <protection/>
    </xf>
    <xf numFmtId="0" fontId="8" fillId="64" borderId="0" xfId="48" applyFont="1" applyFill="1" applyAlignment="1" applyProtection="1">
      <alignment horizontal="left" vertical="center"/>
      <protection/>
    </xf>
    <xf numFmtId="0" fontId="167" fillId="64" borderId="0" xfId="48" applyFont="1" applyFill="1" applyAlignment="1" applyProtection="1">
      <alignment vertical="center"/>
      <protection/>
    </xf>
    <xf numFmtId="0" fontId="168" fillId="64" borderId="0" xfId="0" applyFont="1" applyFill="1" applyAlignment="1" applyProtection="1">
      <alignment vertical="center"/>
      <protection/>
    </xf>
    <xf numFmtId="0" fontId="168" fillId="64" borderId="0" xfId="48" applyFont="1" applyFill="1" applyAlignment="1" applyProtection="1">
      <alignment vertical="center"/>
      <protection/>
    </xf>
    <xf numFmtId="0" fontId="164" fillId="64" borderId="0" xfId="48" applyFont="1" applyFill="1" applyAlignment="1" applyProtection="1">
      <alignment horizontal="left" vertical="center"/>
      <protection/>
    </xf>
    <xf numFmtId="0" fontId="0" fillId="64" borderId="0" xfId="0" applyFont="1" applyFill="1" applyAlignment="1" applyProtection="1">
      <alignment vertical="center"/>
      <protection locked="0"/>
    </xf>
    <xf numFmtId="0" fontId="0" fillId="64" borderId="0" xfId="0" applyFont="1" applyFill="1" applyAlignment="1" applyProtection="1">
      <alignment horizontal="center" vertical="center"/>
      <protection/>
    </xf>
    <xf numFmtId="0" fontId="167" fillId="64" borderId="128" xfId="48" applyFont="1" applyFill="1" applyBorder="1" applyAlignment="1" applyProtection="1">
      <alignment horizontal="left" vertical="center"/>
      <protection/>
    </xf>
    <xf numFmtId="0" fontId="167" fillId="64" borderId="0" xfId="48" applyFont="1" applyFill="1" applyBorder="1" applyAlignment="1" applyProtection="1">
      <alignment horizontal="left" vertical="center"/>
      <protection/>
    </xf>
    <xf numFmtId="0" fontId="164" fillId="64" borderId="129" xfId="48" applyFont="1" applyFill="1" applyBorder="1" applyAlignment="1" applyProtection="1">
      <alignment horizontal="left" vertical="center"/>
      <protection/>
    </xf>
    <xf numFmtId="0" fontId="166" fillId="61" borderId="113" xfId="0" applyFont="1" applyFill="1" applyBorder="1" applyAlignment="1" applyProtection="1">
      <alignment vertical="center"/>
      <protection/>
    </xf>
    <xf numFmtId="0" fontId="166" fillId="61" borderId="0" xfId="0" applyFont="1" applyFill="1" applyBorder="1" applyAlignment="1" applyProtection="1">
      <alignment vertical="center"/>
      <protection/>
    </xf>
    <xf numFmtId="0" fontId="0" fillId="46" borderId="0" xfId="0" applyFont="1" applyFill="1" applyBorder="1" applyAlignment="1" applyProtection="1">
      <alignment vertical="center"/>
      <protection/>
    </xf>
    <xf numFmtId="0" fontId="166" fillId="60" borderId="0" xfId="0" applyFont="1" applyFill="1" applyBorder="1" applyAlignment="1" applyProtection="1">
      <alignment vertical="center"/>
      <protection/>
    </xf>
    <xf numFmtId="0" fontId="0" fillId="46" borderId="106" xfId="0" applyFont="1" applyFill="1" applyBorder="1" applyAlignment="1" applyProtection="1">
      <alignment vertical="center"/>
      <protection/>
    </xf>
    <xf numFmtId="2" fontId="9" fillId="45" borderId="0" xfId="0" applyNumberFormat="1" applyFont="1" applyFill="1" applyBorder="1" applyAlignment="1" applyProtection="1">
      <alignment horizontal="left" vertical="center" indent="1"/>
      <protection/>
    </xf>
    <xf numFmtId="202" fontId="0" fillId="45" borderId="125" xfId="0" applyNumberFormat="1" applyFont="1" applyFill="1" applyBorder="1" applyAlignment="1" applyProtection="1">
      <alignment horizontal="left" vertical="center"/>
      <protection/>
    </xf>
    <xf numFmtId="2" fontId="0" fillId="45" borderId="0" xfId="0" applyNumberFormat="1" applyFont="1" applyFill="1" applyBorder="1" applyAlignment="1" applyProtection="1">
      <alignment vertical="center"/>
      <protection/>
    </xf>
    <xf numFmtId="212" fontId="4" fillId="45" borderId="0" xfId="0" applyNumberFormat="1" applyFont="1" applyFill="1" applyBorder="1" applyAlignment="1" applyProtection="1">
      <alignment vertical="center"/>
      <protection/>
    </xf>
    <xf numFmtId="2" fontId="9" fillId="45" borderId="113" xfId="0" applyNumberFormat="1" applyFont="1" applyFill="1" applyBorder="1" applyAlignment="1" applyProtection="1">
      <alignment vertical="center"/>
      <protection/>
    </xf>
    <xf numFmtId="0" fontId="5" fillId="63" borderId="113" xfId="0" applyFont="1" applyFill="1" applyBorder="1" applyAlignment="1" applyProtection="1">
      <alignment horizontal="left" vertical="center"/>
      <protection/>
    </xf>
    <xf numFmtId="0" fontId="5" fillId="63" borderId="0" xfId="0" applyFont="1" applyFill="1" applyBorder="1" applyAlignment="1" applyProtection="1">
      <alignment horizontal="left" vertical="center"/>
      <protection/>
    </xf>
    <xf numFmtId="0" fontId="5" fillId="63" borderId="111" xfId="0" applyFont="1" applyFill="1" applyBorder="1" applyAlignment="1" applyProtection="1">
      <alignment horizontal="left" vertical="center"/>
      <protection/>
    </xf>
    <xf numFmtId="0" fontId="0" fillId="45" borderId="130" xfId="0" applyFont="1" applyFill="1" applyBorder="1" applyAlignment="1" applyProtection="1">
      <alignment vertical="center"/>
      <protection/>
    </xf>
    <xf numFmtId="0" fontId="0" fillId="45" borderId="131" xfId="0" applyFont="1" applyFill="1" applyBorder="1" applyAlignment="1" applyProtection="1">
      <alignment vertical="center"/>
      <protection/>
    </xf>
    <xf numFmtId="0" fontId="0" fillId="45" borderId="132" xfId="0" applyFont="1" applyFill="1" applyBorder="1" applyAlignment="1" applyProtection="1">
      <alignment vertical="center"/>
      <protection/>
    </xf>
    <xf numFmtId="0" fontId="4" fillId="65" borderId="111" xfId="0" applyFont="1" applyFill="1" applyBorder="1" applyAlignment="1" applyProtection="1">
      <alignment vertical="center"/>
      <protection/>
    </xf>
    <xf numFmtId="168" fontId="4" fillId="65" borderId="0" xfId="0" applyNumberFormat="1" applyFont="1" applyFill="1" applyBorder="1" applyAlignment="1" applyProtection="1">
      <alignment vertical="center"/>
      <protection/>
    </xf>
    <xf numFmtId="4" fontId="13" fillId="41" borderId="0" xfId="48" applyNumberFormat="1" applyFont="1" applyFill="1" applyAlignment="1" applyProtection="1">
      <alignment horizontal="center" vertical="center"/>
      <protection/>
    </xf>
    <xf numFmtId="0" fontId="5" fillId="65" borderId="0" xfId="0" applyFont="1" applyFill="1" applyBorder="1" applyAlignment="1" applyProtection="1">
      <alignment vertical="center"/>
      <protection/>
    </xf>
    <xf numFmtId="0" fontId="0" fillId="54" borderId="133" xfId="0" applyFont="1" applyFill="1" applyBorder="1" applyAlignment="1" applyProtection="1">
      <alignment vertical="center"/>
      <protection/>
    </xf>
    <xf numFmtId="0" fontId="8" fillId="66" borderId="108" xfId="48" applyFont="1" applyFill="1" applyBorder="1" applyAlignment="1" applyProtection="1">
      <alignment horizontal="left" vertical="center"/>
      <protection/>
    </xf>
    <xf numFmtId="0" fontId="8" fillId="66" borderId="109" xfId="48" applyFont="1" applyFill="1" applyBorder="1" applyAlignment="1" applyProtection="1">
      <alignment horizontal="left" vertical="center"/>
      <protection/>
    </xf>
    <xf numFmtId="0" fontId="0" fillId="66" borderId="109" xfId="48" applyFont="1" applyFill="1" applyBorder="1" applyAlignment="1" applyProtection="1">
      <alignment vertical="center"/>
      <protection/>
    </xf>
    <xf numFmtId="0" fontId="0" fillId="66" borderId="110" xfId="48" applyFont="1" applyFill="1" applyBorder="1" applyAlignment="1" applyProtection="1">
      <alignment vertical="center"/>
      <protection/>
    </xf>
    <xf numFmtId="0" fontId="5" fillId="65" borderId="111" xfId="0" applyFont="1" applyFill="1" applyBorder="1" applyAlignment="1" applyProtection="1">
      <alignment vertical="center"/>
      <protection/>
    </xf>
    <xf numFmtId="0" fontId="161" fillId="54" borderId="113" xfId="48" applyFont="1" applyFill="1" applyBorder="1" applyAlignment="1" applyProtection="1">
      <alignment vertical="center"/>
      <protection/>
    </xf>
    <xf numFmtId="0" fontId="161" fillId="54" borderId="111" xfId="48" applyFont="1" applyFill="1" applyBorder="1" applyAlignment="1" applyProtection="1">
      <alignment vertical="center"/>
      <protection/>
    </xf>
    <xf numFmtId="2" fontId="12" fillId="54" borderId="113" xfId="0" applyNumberFormat="1" applyFont="1" applyFill="1" applyBorder="1" applyAlignment="1" applyProtection="1">
      <alignment vertical="top"/>
      <protection/>
    </xf>
    <xf numFmtId="2" fontId="169" fillId="45" borderId="106" xfId="0" applyNumberFormat="1" applyFont="1" applyFill="1" applyBorder="1" applyAlignment="1" applyProtection="1">
      <alignment vertical="center"/>
      <protection/>
    </xf>
    <xf numFmtId="0" fontId="21" fillId="58" borderId="108" xfId="48" applyFont="1" applyFill="1" applyBorder="1" applyAlignment="1" applyProtection="1">
      <alignment vertical="center"/>
      <protection/>
    </xf>
    <xf numFmtId="0" fontId="21" fillId="58" borderId="109" xfId="48" applyFont="1" applyFill="1" applyBorder="1" applyAlignment="1" applyProtection="1">
      <alignment vertical="center"/>
      <protection/>
    </xf>
    <xf numFmtId="0" fontId="21" fillId="58" borderId="110" xfId="48" applyFont="1" applyFill="1" applyBorder="1" applyAlignment="1" applyProtection="1">
      <alignment vertical="center"/>
      <protection/>
    </xf>
    <xf numFmtId="0" fontId="21" fillId="41" borderId="0" xfId="48" applyFont="1" applyFill="1" applyBorder="1" applyAlignment="1" applyProtection="1">
      <alignment vertical="center"/>
      <protection/>
    </xf>
    <xf numFmtId="0" fontId="21" fillId="58" borderId="113" xfId="48" applyFont="1" applyFill="1" applyBorder="1" applyAlignment="1" applyProtection="1">
      <alignment vertical="center"/>
      <protection/>
    </xf>
    <xf numFmtId="0" fontId="21" fillId="58" borderId="111" xfId="48" applyFont="1" applyFill="1" applyBorder="1" applyAlignment="1" applyProtection="1">
      <alignment vertical="center"/>
      <protection/>
    </xf>
    <xf numFmtId="0" fontId="21" fillId="58" borderId="121" xfId="48" applyFont="1" applyFill="1" applyBorder="1" applyAlignment="1" applyProtection="1">
      <alignment vertical="center"/>
      <protection/>
    </xf>
    <xf numFmtId="0" fontId="21" fillId="58" borderId="106" xfId="48" applyFont="1" applyFill="1" applyBorder="1" applyAlignment="1" applyProtection="1">
      <alignment vertical="center"/>
      <protection/>
    </xf>
    <xf numFmtId="0" fontId="21" fillId="58" borderId="122" xfId="48" applyFont="1" applyFill="1" applyBorder="1" applyAlignment="1" applyProtection="1">
      <alignment vertical="center"/>
      <protection/>
    </xf>
    <xf numFmtId="0" fontId="160" fillId="46" borderId="0" xfId="0" applyFont="1" applyFill="1" applyAlignment="1" applyProtection="1">
      <alignment horizontal="center" vertical="center" wrapText="1"/>
      <protection/>
    </xf>
    <xf numFmtId="0" fontId="0" fillId="41" borderId="0" xfId="0" applyFill="1" applyAlignment="1" applyProtection="1">
      <alignment/>
      <protection/>
    </xf>
    <xf numFmtId="0" fontId="4" fillId="41" borderId="0" xfId="0" applyFont="1" applyFill="1" applyAlignment="1" applyProtection="1">
      <alignment/>
      <protection/>
    </xf>
    <xf numFmtId="0" fontId="0" fillId="41" borderId="0" xfId="0" applyFont="1" applyFill="1" applyAlignment="1" applyProtection="1">
      <alignment horizontal="right"/>
      <protection/>
    </xf>
    <xf numFmtId="0" fontId="0" fillId="67" borderId="112" xfId="0" applyFill="1" applyBorder="1" applyAlignment="1" applyProtection="1">
      <alignment/>
      <protection/>
    </xf>
    <xf numFmtId="0" fontId="0" fillId="41" borderId="101" xfId="0" applyFill="1" applyBorder="1" applyAlignment="1" applyProtection="1">
      <alignment/>
      <protection/>
    </xf>
    <xf numFmtId="0" fontId="170" fillId="41" borderId="88" xfId="0" applyFont="1" applyFill="1" applyBorder="1" applyAlignment="1" applyProtection="1">
      <alignment horizontal="center"/>
      <protection/>
    </xf>
    <xf numFmtId="0" fontId="29" fillId="68" borderId="112" xfId="0" applyFont="1" applyFill="1" applyBorder="1" applyAlignment="1" applyProtection="1">
      <alignment horizontal="center" vertical="center"/>
      <protection/>
    </xf>
    <xf numFmtId="0" fontId="170" fillId="41" borderId="96" xfId="0" applyFont="1" applyFill="1" applyBorder="1" applyAlignment="1" applyProtection="1">
      <alignment horizontal="center"/>
      <protection/>
    </xf>
    <xf numFmtId="0" fontId="170" fillId="41" borderId="0" xfId="0" applyFont="1" applyFill="1" applyAlignment="1" applyProtection="1">
      <alignment horizontal="center"/>
      <protection/>
    </xf>
    <xf numFmtId="2" fontId="0" fillId="69" borderId="134" xfId="0" applyNumberFormat="1" applyFill="1" applyBorder="1" applyAlignment="1" applyProtection="1">
      <alignment horizontal="center"/>
      <protection/>
    </xf>
    <xf numFmtId="0" fontId="170" fillId="41" borderId="92" xfId="0" applyFont="1" applyFill="1" applyBorder="1" applyAlignment="1" applyProtection="1">
      <alignment horizontal="center"/>
      <protection/>
    </xf>
    <xf numFmtId="0" fontId="170" fillId="41" borderId="85" xfId="0" applyFont="1" applyFill="1" applyBorder="1" applyAlignment="1" applyProtection="1">
      <alignment horizontal="center"/>
      <protection/>
    </xf>
    <xf numFmtId="1" fontId="13" fillId="67" borderId="112" xfId="0" applyNumberFormat="1" applyFont="1" applyFill="1" applyBorder="1" applyAlignment="1" applyProtection="1">
      <alignment vertical="center"/>
      <protection/>
    </xf>
    <xf numFmtId="0" fontId="0" fillId="0" borderId="81" xfId="0" applyBorder="1" applyAlignment="1" applyProtection="1">
      <alignment/>
      <protection/>
    </xf>
    <xf numFmtId="0" fontId="0" fillId="41" borderId="0" xfId="0" applyFill="1" applyAlignment="1" applyProtection="1">
      <alignment vertical="center"/>
      <protection/>
    </xf>
    <xf numFmtId="165" fontId="150" fillId="41" borderId="90" xfId="0" applyNumberFormat="1" applyFont="1" applyFill="1" applyBorder="1" applyAlignment="1" applyProtection="1">
      <alignment horizontal="center" vertical="center"/>
      <protection/>
    </xf>
    <xf numFmtId="0" fontId="0" fillId="41" borderId="0" xfId="0" applyFont="1" applyFill="1" applyAlignment="1" applyProtection="1" quotePrefix="1">
      <alignment vertical="center"/>
      <protection/>
    </xf>
    <xf numFmtId="9" fontId="171" fillId="41" borderId="112" xfId="0" applyNumberFormat="1" applyFont="1" applyFill="1" applyBorder="1" applyAlignment="1" applyProtection="1">
      <alignment horizontal="center"/>
      <protection/>
    </xf>
    <xf numFmtId="9" fontId="171" fillId="41" borderId="0" xfId="0" applyNumberFormat="1" applyFont="1" applyFill="1" applyBorder="1" applyAlignment="1" applyProtection="1">
      <alignment horizontal="center"/>
      <protection/>
    </xf>
    <xf numFmtId="186" fontId="0" fillId="41" borderId="0" xfId="0" applyNumberFormat="1" applyFill="1" applyAlignment="1" applyProtection="1">
      <alignment/>
      <protection/>
    </xf>
    <xf numFmtId="210" fontId="13" fillId="41" borderId="112" xfId="0" applyNumberFormat="1" applyFont="1" applyFill="1" applyBorder="1" applyAlignment="1" applyProtection="1">
      <alignment horizontal="center" vertical="center"/>
      <protection/>
    </xf>
    <xf numFmtId="189" fontId="13" fillId="67" borderId="112" xfId="0" applyNumberFormat="1" applyFont="1" applyFill="1" applyBorder="1" applyAlignment="1" applyProtection="1">
      <alignment horizontal="center" vertical="center"/>
      <protection/>
    </xf>
    <xf numFmtId="211" fontId="0" fillId="0" borderId="0" xfId="0" applyNumberFormat="1" applyFont="1" applyAlignment="1" applyProtection="1" quotePrefix="1">
      <alignment/>
      <protection/>
    </xf>
    <xf numFmtId="165" fontId="0" fillId="41" borderId="0" xfId="0" applyNumberFormat="1" applyFill="1" applyBorder="1" applyAlignment="1" applyProtection="1">
      <alignment horizontal="center"/>
      <protection/>
    </xf>
    <xf numFmtId="200" fontId="0" fillId="41" borderId="0" xfId="0" applyNumberFormat="1" applyFill="1" applyBorder="1" applyAlignment="1" applyProtection="1">
      <alignment horizontal="center" shrinkToFit="1"/>
      <protection/>
    </xf>
    <xf numFmtId="165" fontId="0" fillId="41" borderId="112" xfId="0" applyNumberFormat="1" applyFill="1" applyBorder="1" applyAlignment="1" applyProtection="1">
      <alignment horizontal="center"/>
      <protection/>
    </xf>
    <xf numFmtId="200" fontId="0" fillId="41" borderId="112" xfId="0" applyNumberFormat="1" applyFill="1" applyBorder="1" applyAlignment="1" applyProtection="1">
      <alignment horizontal="center" shrinkToFit="1"/>
      <protection/>
    </xf>
    <xf numFmtId="207" fontId="4" fillId="41" borderId="0" xfId="0" applyNumberFormat="1" applyFont="1" applyFill="1" applyBorder="1" applyAlignment="1" applyProtection="1">
      <alignment horizontal="center" vertical="center" textRotation="90"/>
      <protection/>
    </xf>
    <xf numFmtId="0" fontId="0" fillId="41" borderId="112" xfId="0" applyFill="1" applyBorder="1" applyAlignment="1" applyProtection="1">
      <alignment/>
      <protection/>
    </xf>
    <xf numFmtId="0" fontId="172" fillId="41" borderId="112" xfId="0" applyFont="1" applyFill="1" applyBorder="1" applyAlignment="1" applyProtection="1">
      <alignment/>
      <protection/>
    </xf>
    <xf numFmtId="0" fontId="0" fillId="41" borderId="0" xfId="0" applyFont="1" applyFill="1" applyAlignment="1" applyProtection="1">
      <alignment/>
      <protection/>
    </xf>
    <xf numFmtId="0" fontId="172" fillId="41" borderId="0" xfId="0" applyFont="1" applyFill="1" applyAlignment="1" applyProtection="1">
      <alignment/>
      <protection/>
    </xf>
    <xf numFmtId="0" fontId="0" fillId="0" borderId="0" xfId="0" applyAlignment="1" applyProtection="1">
      <alignment vertical="center"/>
      <protection/>
    </xf>
    <xf numFmtId="9" fontId="172" fillId="0" borderId="0" xfId="0" applyNumberFormat="1" applyFont="1" applyBorder="1" applyAlignment="1">
      <alignment/>
    </xf>
    <xf numFmtId="209" fontId="0" fillId="0" borderId="0" xfId="0" applyNumberFormat="1" applyBorder="1" applyAlignment="1">
      <alignment horizontal="right" shrinkToFit="1"/>
    </xf>
    <xf numFmtId="171" fontId="0" fillId="0" borderId="0" xfId="0" applyNumberFormat="1" applyBorder="1" applyAlignment="1">
      <alignment horizontal="right" shrinkToFit="1"/>
    </xf>
    <xf numFmtId="208" fontId="0" fillId="0" borderId="0" xfId="0" applyNumberFormat="1" applyBorder="1" applyAlignment="1">
      <alignment/>
    </xf>
    <xf numFmtId="9" fontId="172" fillId="58" borderId="112" xfId="0" applyNumberFormat="1" applyFont="1" applyFill="1" applyBorder="1" applyAlignment="1">
      <alignment/>
    </xf>
    <xf numFmtId="209" fontId="0" fillId="58" borderId="31" xfId="0" applyNumberFormat="1" applyFill="1" applyBorder="1" applyAlignment="1">
      <alignment horizontal="right" shrinkToFit="1"/>
    </xf>
    <xf numFmtId="209" fontId="0" fillId="58" borderId="79" xfId="0" applyNumberFormat="1" applyFill="1" applyBorder="1" applyAlignment="1">
      <alignment horizontal="right" shrinkToFit="1"/>
    </xf>
    <xf numFmtId="171" fontId="0" fillId="58" borderId="79" xfId="0" applyNumberFormat="1" applyFill="1" applyBorder="1" applyAlignment="1">
      <alignment horizontal="right" shrinkToFit="1"/>
    </xf>
    <xf numFmtId="208" fontId="0" fillId="58" borderId="79" xfId="0" applyNumberFormat="1" applyFill="1" applyBorder="1" applyAlignment="1">
      <alignment/>
    </xf>
    <xf numFmtId="0" fontId="0" fillId="58" borderId="79" xfId="0" applyFill="1" applyBorder="1" applyAlignment="1">
      <alignment/>
    </xf>
    <xf numFmtId="208" fontId="0" fillId="58" borderId="112" xfId="0" applyNumberFormat="1" applyFill="1" applyBorder="1" applyAlignment="1">
      <alignment/>
    </xf>
    <xf numFmtId="164" fontId="0" fillId="34" borderId="135"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wrapText="1"/>
      <protection/>
    </xf>
    <xf numFmtId="0" fontId="4" fillId="34" borderId="67" xfId="0" applyFont="1" applyFill="1" applyBorder="1" applyAlignment="1" applyProtection="1">
      <alignment horizontal="center" vertical="center" wrapText="1"/>
      <protection/>
    </xf>
    <xf numFmtId="0" fontId="4" fillId="34" borderId="66"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67" xfId="0" applyFont="1" applyFill="1" applyBorder="1" applyAlignment="1" applyProtection="1">
      <alignment horizontal="center" vertical="center"/>
      <protection/>
    </xf>
    <xf numFmtId="0" fontId="11" fillId="34" borderId="0" xfId="0" applyFont="1" applyFill="1" applyBorder="1" applyAlignment="1" applyProtection="1">
      <alignment vertical="center" wrapText="1"/>
      <protection/>
    </xf>
    <xf numFmtId="0" fontId="11" fillId="34" borderId="67" xfId="0" applyFont="1" applyFill="1" applyBorder="1" applyAlignment="1" applyProtection="1">
      <alignment vertical="center" wrapText="1"/>
      <protection/>
    </xf>
    <xf numFmtId="3" fontId="16" fillId="34" borderId="136" xfId="0" applyNumberFormat="1" applyFont="1" applyFill="1" applyBorder="1" applyAlignment="1" applyProtection="1">
      <alignment vertical="center" shrinkToFit="1"/>
      <protection/>
    </xf>
    <xf numFmtId="3" fontId="16" fillId="34" borderId="137" xfId="0" applyNumberFormat="1" applyFont="1" applyFill="1" applyBorder="1" applyAlignment="1" applyProtection="1">
      <alignment vertical="center" shrinkToFit="1"/>
      <protection/>
    </xf>
    <xf numFmtId="186" fontId="12" fillId="43" borderId="138" xfId="0" applyNumberFormat="1" applyFont="1" applyFill="1" applyBorder="1" applyAlignment="1" applyProtection="1">
      <alignment horizontal="right" vertical="center" shrinkToFit="1"/>
      <protection/>
    </xf>
    <xf numFmtId="0" fontId="4" fillId="43" borderId="139" xfId="0" applyFont="1" applyFill="1" applyBorder="1" applyAlignment="1" applyProtection="1">
      <alignment horizontal="right" vertical="center"/>
      <protection/>
    </xf>
    <xf numFmtId="165" fontId="12" fillId="43" borderId="139" xfId="0" applyNumberFormat="1" applyFont="1" applyFill="1" applyBorder="1" applyAlignment="1" applyProtection="1">
      <alignment vertical="center" shrinkToFit="1"/>
      <protection/>
    </xf>
    <xf numFmtId="3" fontId="4" fillId="43" borderId="140" xfId="0" applyNumberFormat="1" applyFont="1" applyFill="1" applyBorder="1" applyAlignment="1" applyProtection="1">
      <alignment vertical="center"/>
      <protection/>
    </xf>
    <xf numFmtId="0" fontId="0" fillId="0" borderId="26" xfId="0" applyFont="1" applyBorder="1" applyAlignment="1">
      <alignment/>
    </xf>
    <xf numFmtId="165" fontId="150" fillId="41" borderId="0" xfId="0" applyNumberFormat="1" applyFont="1" applyFill="1" applyBorder="1" applyAlignment="1" applyProtection="1">
      <alignment horizontal="center" vertical="center"/>
      <protection/>
    </xf>
    <xf numFmtId="0" fontId="6" fillId="64" borderId="0" xfId="0" applyFont="1" applyFill="1" applyAlignment="1" applyProtection="1">
      <alignment horizontal="right" vertical="center"/>
      <protection/>
    </xf>
    <xf numFmtId="0" fontId="173" fillId="64" borderId="0" xfId="0" applyFont="1" applyFill="1" applyAlignment="1" applyProtection="1">
      <alignment horizontal="right" vertical="center"/>
      <protection/>
    </xf>
    <xf numFmtId="0" fontId="0" fillId="47" borderId="0" xfId="0" applyFont="1" applyFill="1" applyBorder="1" applyAlignment="1" applyProtection="1">
      <alignment vertical="center"/>
      <protection/>
    </xf>
    <xf numFmtId="0" fontId="3" fillId="41" borderId="0" xfId="0" applyFont="1" applyFill="1" applyBorder="1" applyAlignment="1" applyProtection="1">
      <alignment vertical="center"/>
      <protection/>
    </xf>
    <xf numFmtId="171" fontId="9" fillId="41" borderId="0" xfId="0" applyNumberFormat="1" applyFont="1" applyFill="1" applyBorder="1" applyAlignment="1" applyProtection="1">
      <alignment vertical="center" shrinkToFit="1"/>
      <protection/>
    </xf>
    <xf numFmtId="171" fontId="12" fillId="45" borderId="113" xfId="0" applyNumberFormat="1" applyFont="1" applyFill="1" applyBorder="1" applyAlignment="1" applyProtection="1">
      <alignment horizontal="right" vertical="center" shrinkToFit="1"/>
      <protection/>
    </xf>
    <xf numFmtId="2" fontId="12" fillId="45" borderId="106" xfId="0" applyNumberFormat="1" applyFont="1" applyFill="1" applyBorder="1" applyAlignment="1" applyProtection="1">
      <alignment vertical="center"/>
      <protection/>
    </xf>
    <xf numFmtId="171" fontId="9" fillId="45" borderId="122" xfId="0" applyNumberFormat="1" applyFont="1" applyFill="1" applyBorder="1" applyAlignment="1" applyProtection="1">
      <alignment vertical="center" shrinkToFit="1"/>
      <protection/>
    </xf>
    <xf numFmtId="0" fontId="3" fillId="45" borderId="0" xfId="0" applyFont="1" applyFill="1" applyBorder="1" applyAlignment="1" applyProtection="1">
      <alignment horizontal="right" vertical="center"/>
      <protection/>
    </xf>
    <xf numFmtId="2" fontId="13" fillId="41" borderId="0" xfId="0" applyNumberFormat="1" applyFont="1" applyFill="1" applyBorder="1" applyAlignment="1" applyProtection="1">
      <alignment horizontal="left" vertical="center" indent="1"/>
      <protection/>
    </xf>
    <xf numFmtId="0" fontId="0" fillId="64" borderId="0" xfId="0" applyFont="1" applyFill="1" applyBorder="1" applyAlignment="1" applyProtection="1">
      <alignment vertical="center"/>
      <protection/>
    </xf>
    <xf numFmtId="0" fontId="5" fillId="63" borderId="113" xfId="0" applyFont="1" applyFill="1" applyBorder="1" applyAlignment="1" applyProtection="1">
      <alignment horizontal="left" vertical="center" indent="1"/>
      <protection/>
    </xf>
    <xf numFmtId="0" fontId="5" fillId="63" borderId="0" xfId="0" applyFont="1" applyFill="1" applyBorder="1" applyAlignment="1" applyProtection="1">
      <alignment horizontal="left" vertical="center" indent="1"/>
      <protection/>
    </xf>
    <xf numFmtId="0" fontId="6" fillId="63" borderId="0" xfId="0" applyFont="1" applyFill="1" applyBorder="1" applyAlignment="1" applyProtection="1">
      <alignment horizontal="left" vertical="center"/>
      <protection/>
    </xf>
    <xf numFmtId="0" fontId="0" fillId="63" borderId="0" xfId="0" applyFont="1" applyFill="1" applyBorder="1" applyAlignment="1" applyProtection="1">
      <alignment vertical="center"/>
      <protection/>
    </xf>
    <xf numFmtId="170" fontId="5" fillId="63" borderId="0" xfId="0" applyNumberFormat="1" applyFont="1" applyFill="1" applyBorder="1" applyAlignment="1" applyProtection="1">
      <alignment horizontal="right" vertical="center" indent="1" shrinkToFit="1"/>
      <protection/>
    </xf>
    <xf numFmtId="170" fontId="5" fillId="63" borderId="111" xfId="0" applyNumberFormat="1" applyFont="1" applyFill="1" applyBorder="1" applyAlignment="1" applyProtection="1">
      <alignment horizontal="right" vertical="center" indent="1" shrinkToFit="1"/>
      <protection/>
    </xf>
    <xf numFmtId="0" fontId="3" fillId="45" borderId="0" xfId="0" applyFont="1" applyFill="1" applyBorder="1" applyAlignment="1" applyProtection="1">
      <alignment horizontal="right" vertical="center" indent="1"/>
      <protection/>
    </xf>
    <xf numFmtId="222" fontId="0" fillId="45" borderId="0" xfId="0" applyNumberFormat="1" applyFont="1" applyFill="1" applyBorder="1" applyAlignment="1" applyProtection="1">
      <alignment vertical="center"/>
      <protection/>
    </xf>
    <xf numFmtId="212" fontId="9" fillId="45" borderId="0" xfId="0" applyNumberFormat="1" applyFont="1" applyFill="1" applyBorder="1" applyAlignment="1" applyProtection="1">
      <alignment horizontal="right" vertical="center"/>
      <protection/>
    </xf>
    <xf numFmtId="184" fontId="3" fillId="45" borderId="0" xfId="0" applyNumberFormat="1" applyFont="1" applyFill="1" applyBorder="1" applyAlignment="1" applyProtection="1">
      <alignment horizontal="left" vertical="center" shrinkToFit="1"/>
      <protection/>
    </xf>
    <xf numFmtId="2" fontId="9" fillId="45" borderId="113" xfId="0" applyNumberFormat="1" applyFont="1" applyFill="1" applyBorder="1" applyAlignment="1" applyProtection="1" quotePrefix="1">
      <alignment horizontal="left" vertical="center" indent="1"/>
      <protection/>
    </xf>
    <xf numFmtId="2" fontId="9" fillId="45" borderId="0" xfId="0" applyNumberFormat="1" applyFont="1" applyFill="1" applyBorder="1" applyAlignment="1" applyProtection="1" quotePrefix="1">
      <alignment horizontal="left" vertical="center" indent="1"/>
      <protection/>
    </xf>
    <xf numFmtId="0" fontId="0" fillId="49" borderId="0" xfId="0" applyFont="1" applyFill="1" applyBorder="1" applyAlignment="1" applyProtection="1">
      <alignment horizontal="center" vertical="center"/>
      <protection/>
    </xf>
    <xf numFmtId="0" fontId="174" fillId="54" borderId="0" xfId="0" applyFont="1" applyFill="1" applyBorder="1" applyAlignment="1" applyProtection="1">
      <alignment horizontal="left" vertical="center" indent="1"/>
      <protection/>
    </xf>
    <xf numFmtId="204" fontId="40" fillId="45" borderId="0" xfId="0" applyNumberFormat="1" applyFont="1" applyFill="1" applyBorder="1" applyAlignment="1" applyProtection="1">
      <alignment vertical="center" textRotation="90"/>
      <protection/>
    </xf>
    <xf numFmtId="212" fontId="41" fillId="45" borderId="0" xfId="0" applyNumberFormat="1" applyFont="1" applyFill="1" applyBorder="1" applyAlignment="1" applyProtection="1">
      <alignment vertical="center"/>
      <protection/>
    </xf>
    <xf numFmtId="0" fontId="40" fillId="45" borderId="0" xfId="0" applyFont="1" applyFill="1" applyBorder="1" applyAlignment="1" applyProtection="1">
      <alignment vertical="center"/>
      <protection/>
    </xf>
    <xf numFmtId="182" fontId="3" fillId="45" borderId="111" xfId="0" applyNumberFormat="1" applyFont="1" applyFill="1" applyBorder="1" applyAlignment="1" applyProtection="1">
      <alignment vertical="center" wrapText="1" shrinkToFit="1"/>
      <protection/>
    </xf>
    <xf numFmtId="171" fontId="4" fillId="45" borderId="0" xfId="0" applyNumberFormat="1" applyFont="1" applyFill="1" applyBorder="1" applyAlignment="1" applyProtection="1">
      <alignment horizontal="right" vertical="center" indent="1"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171" fontId="4" fillId="45" borderId="111" xfId="0" applyNumberFormat="1" applyFont="1" applyFill="1" applyBorder="1" applyAlignment="1" applyProtection="1">
      <alignment vertical="center" shrinkToFit="1"/>
      <protection/>
    </xf>
    <xf numFmtId="2" fontId="0" fillId="45" borderId="0" xfId="0" applyNumberFormat="1" applyFont="1" applyFill="1" applyBorder="1" applyAlignment="1" applyProtection="1">
      <alignment horizontal="left" vertical="center" indent="1"/>
      <protection/>
    </xf>
    <xf numFmtId="0" fontId="0" fillId="45" borderId="0" xfId="0" applyFont="1" applyFill="1" applyBorder="1" applyAlignment="1" applyProtection="1">
      <alignment horizontal="left" vertical="center" indent="1"/>
      <protection/>
    </xf>
    <xf numFmtId="0" fontId="3" fillId="63" borderId="0" xfId="0" applyFont="1" applyFill="1" applyBorder="1" applyAlignment="1" applyProtection="1">
      <alignment horizontal="left" vertical="center"/>
      <protection/>
    </xf>
    <xf numFmtId="184" fontId="13" fillId="45" borderId="0" xfId="0" applyNumberFormat="1" applyFont="1" applyFill="1" applyBorder="1" applyAlignment="1" applyProtection="1">
      <alignment horizontal="left" vertical="center" shrinkToFit="1"/>
      <protection/>
    </xf>
    <xf numFmtId="182" fontId="13" fillId="45" borderId="0" xfId="0" applyNumberFormat="1" applyFont="1" applyFill="1" applyBorder="1" applyAlignment="1" applyProtection="1">
      <alignment horizontal="left" vertical="center" shrinkToFit="1"/>
      <protection/>
    </xf>
    <xf numFmtId="176" fontId="13" fillId="45" borderId="0" xfId="0" applyNumberFormat="1" applyFont="1" applyFill="1" applyBorder="1" applyAlignment="1" applyProtection="1">
      <alignment horizontal="right" vertical="center" shrinkToFit="1"/>
      <protection/>
    </xf>
    <xf numFmtId="204" fontId="13" fillId="45" borderId="0" xfId="0" applyNumberFormat="1" applyFont="1" applyFill="1" applyBorder="1" applyAlignment="1" applyProtection="1">
      <alignment horizontal="right" vertical="center" shrinkToFit="1"/>
      <protection/>
    </xf>
    <xf numFmtId="0" fontId="13" fillId="45" borderId="0" xfId="0" applyFont="1" applyFill="1" applyBorder="1" applyAlignment="1" applyProtection="1">
      <alignment vertical="center" shrinkToFit="1"/>
      <protection/>
    </xf>
    <xf numFmtId="0" fontId="13" fillId="45" borderId="0" xfId="0" applyFont="1" applyFill="1" applyBorder="1" applyAlignment="1" applyProtection="1">
      <alignment horizontal="right" vertical="center" shrinkToFit="1"/>
      <protection/>
    </xf>
    <xf numFmtId="168" fontId="0" fillId="45" borderId="0" xfId="0" applyNumberFormat="1" applyFont="1" applyFill="1" applyBorder="1" applyAlignment="1" applyProtection="1">
      <alignment vertical="center"/>
      <protection/>
    </xf>
    <xf numFmtId="168" fontId="0" fillId="45" borderId="111" xfId="0" applyNumberFormat="1" applyFont="1" applyFill="1" applyBorder="1" applyAlignment="1" applyProtection="1">
      <alignment vertical="center"/>
      <protection/>
    </xf>
    <xf numFmtId="170" fontId="4" fillId="63" borderId="0" xfId="0" applyNumberFormat="1" applyFont="1" applyFill="1" applyBorder="1" applyAlignment="1" applyProtection="1">
      <alignment horizontal="right" vertical="center" indent="1" shrinkToFit="1"/>
      <protection/>
    </xf>
    <xf numFmtId="170" fontId="4" fillId="63" borderId="111" xfId="0" applyNumberFormat="1" applyFont="1" applyFill="1" applyBorder="1" applyAlignment="1" applyProtection="1">
      <alignment horizontal="right" vertical="center" indent="1" shrinkToFit="1"/>
      <protection/>
    </xf>
    <xf numFmtId="0" fontId="161" fillId="45" borderId="111" xfId="0" applyFont="1" applyFill="1" applyBorder="1" applyAlignment="1" applyProtection="1">
      <alignment vertical="center"/>
      <protection/>
    </xf>
    <xf numFmtId="0" fontId="21" fillId="45" borderId="122" xfId="48" applyFont="1" applyFill="1" applyBorder="1" applyAlignment="1" applyProtection="1">
      <alignment vertical="center"/>
      <protection/>
    </xf>
    <xf numFmtId="0" fontId="3" fillId="45" borderId="121" xfId="0" applyFont="1" applyFill="1" applyBorder="1" applyAlignment="1" applyProtection="1">
      <alignment vertical="center" textRotation="90"/>
      <protection/>
    </xf>
    <xf numFmtId="2" fontId="0" fillId="45" borderId="106" xfId="0" applyNumberFormat="1" applyFont="1" applyFill="1" applyBorder="1" applyAlignment="1" applyProtection="1">
      <alignment vertical="center"/>
      <protection/>
    </xf>
    <xf numFmtId="0" fontId="4" fillId="54" borderId="0" xfId="0" applyFont="1" applyFill="1" applyBorder="1" applyAlignment="1" applyProtection="1" quotePrefix="1">
      <alignment vertical="center"/>
      <protection/>
    </xf>
    <xf numFmtId="168" fontId="0" fillId="45" borderId="0" xfId="0" applyNumberFormat="1" applyFont="1" applyFill="1" applyBorder="1" applyAlignment="1" applyProtection="1">
      <alignment vertical="center" shrinkToFit="1"/>
      <protection/>
    </xf>
    <xf numFmtId="168" fontId="0" fillId="45" borderId="111" xfId="0" applyNumberFormat="1" applyFont="1" applyFill="1" applyBorder="1" applyAlignment="1" applyProtection="1">
      <alignment vertical="center" shrinkToFit="1"/>
      <protection/>
    </xf>
    <xf numFmtId="0" fontId="0" fillId="45" borderId="0" xfId="0" applyFont="1" applyFill="1" applyAlignment="1" applyProtection="1">
      <alignment vertical="center"/>
      <protection/>
    </xf>
    <xf numFmtId="2" fontId="38" fillId="45" borderId="0" xfId="0" applyNumberFormat="1" applyFont="1" applyFill="1" applyBorder="1" applyAlignment="1" applyProtection="1">
      <alignment vertical="center"/>
      <protection/>
    </xf>
    <xf numFmtId="2" fontId="11" fillId="54" borderId="0" xfId="0" applyNumberFormat="1" applyFont="1" applyFill="1" applyBorder="1" applyAlignment="1" applyProtection="1">
      <alignment vertical="center"/>
      <protection/>
    </xf>
    <xf numFmtId="0" fontId="13" fillId="45" borderId="121" xfId="0" applyFont="1" applyFill="1" applyBorder="1" applyAlignment="1" applyProtection="1">
      <alignment vertical="center"/>
      <protection/>
    </xf>
    <xf numFmtId="0" fontId="13" fillId="45" borderId="122" xfId="0" applyFont="1" applyFill="1" applyBorder="1" applyAlignment="1" applyProtection="1">
      <alignment vertical="center"/>
      <protection/>
    </xf>
    <xf numFmtId="168" fontId="13" fillId="45" borderId="0" xfId="0" applyNumberFormat="1" applyFont="1" applyFill="1" applyBorder="1" applyAlignment="1" applyProtection="1">
      <alignment horizontal="right" vertical="center" indent="1" shrinkToFit="1"/>
      <protection/>
    </xf>
    <xf numFmtId="2" fontId="13" fillId="45" borderId="106" xfId="0" applyNumberFormat="1" applyFont="1" applyFill="1" applyBorder="1" applyAlignment="1" applyProtection="1">
      <alignment horizontal="left" vertical="center" indent="1"/>
      <protection/>
    </xf>
    <xf numFmtId="168" fontId="13" fillId="45" borderId="106" xfId="0" applyNumberFormat="1" applyFont="1" applyFill="1" applyBorder="1" applyAlignment="1" applyProtection="1">
      <alignment horizontal="right" vertical="center" indent="1" shrinkToFit="1"/>
      <protection/>
    </xf>
    <xf numFmtId="168" fontId="13" fillId="45" borderId="122" xfId="0" applyNumberFormat="1" applyFont="1" applyFill="1" applyBorder="1" applyAlignment="1" applyProtection="1">
      <alignment horizontal="right" vertical="center" indent="1" shrinkToFit="1"/>
      <protection/>
    </xf>
    <xf numFmtId="0" fontId="0" fillId="65" borderId="0" xfId="0" applyFont="1" applyFill="1" applyBorder="1" applyAlignment="1" applyProtection="1">
      <alignment horizontal="center" vertical="center"/>
      <protection/>
    </xf>
    <xf numFmtId="0" fontId="5" fillId="41" borderId="0" xfId="0" applyFont="1" applyFill="1" applyBorder="1" applyAlignment="1" applyProtection="1">
      <alignment vertical="center"/>
      <protection/>
    </xf>
    <xf numFmtId="0" fontId="164" fillId="46" borderId="107" xfId="48" applyFont="1" applyFill="1" applyBorder="1" applyAlignment="1" applyProtection="1">
      <alignment horizontal="left" vertical="center"/>
      <protection/>
    </xf>
    <xf numFmtId="0" fontId="34" fillId="41" borderId="0" xfId="48" applyFont="1" applyFill="1" applyBorder="1" applyAlignment="1" applyProtection="1">
      <alignment vertical="center"/>
      <protection/>
    </xf>
    <xf numFmtId="0" fontId="34" fillId="41" borderId="106" xfId="48" applyFont="1" applyFill="1" applyBorder="1" applyAlignment="1" applyProtection="1">
      <alignment vertical="center"/>
      <protection/>
    </xf>
    <xf numFmtId="0" fontId="0" fillId="0" borderId="0" xfId="0" applyAlignment="1" applyProtection="1">
      <alignment horizontal="left"/>
      <protection/>
    </xf>
    <xf numFmtId="0" fontId="0" fillId="70" borderId="0" xfId="0" applyFill="1" applyAlignment="1" applyProtection="1">
      <alignment horizontal="left"/>
      <protection/>
    </xf>
    <xf numFmtId="0" fontId="0" fillId="53" borderId="0" xfId="0" applyFill="1" applyAlignment="1" applyProtection="1">
      <alignment horizontal="left"/>
      <protection/>
    </xf>
    <xf numFmtId="0" fontId="47" fillId="53" borderId="0" xfId="0" applyFont="1" applyFill="1" applyAlignment="1" applyProtection="1">
      <alignment horizontal="left"/>
      <protection/>
    </xf>
    <xf numFmtId="0" fontId="3" fillId="53" borderId="0" xfId="0" applyFont="1" applyFill="1" applyAlignment="1" applyProtection="1">
      <alignment horizontal="left"/>
      <protection/>
    </xf>
    <xf numFmtId="0" fontId="49" fillId="53" borderId="0" xfId="0" applyFont="1" applyFill="1" applyAlignment="1" applyProtection="1">
      <alignment horizontal="left"/>
      <protection/>
    </xf>
    <xf numFmtId="0" fontId="0" fillId="53" borderId="0" xfId="0" applyFill="1" applyAlignment="1" applyProtection="1">
      <alignment horizontal="right"/>
      <protection/>
    </xf>
    <xf numFmtId="0" fontId="50" fillId="53" borderId="0" xfId="0" applyFont="1" applyFill="1" applyAlignment="1" applyProtection="1">
      <alignment horizontal="left" wrapText="1"/>
      <protection/>
    </xf>
    <xf numFmtId="0" fontId="0" fillId="0" borderId="0" xfId="0" applyFill="1" applyAlignment="1" applyProtection="1">
      <alignment horizontal="left"/>
      <protection/>
    </xf>
    <xf numFmtId="0" fontId="50" fillId="0" borderId="0" xfId="0" applyFont="1" applyFill="1" applyAlignment="1" applyProtection="1">
      <alignment horizontal="left" wrapText="1"/>
      <protection/>
    </xf>
    <xf numFmtId="0" fontId="49" fillId="0" borderId="0" xfId="0" applyFont="1" applyAlignment="1" applyProtection="1">
      <alignment horizontal="left"/>
      <protection/>
    </xf>
    <xf numFmtId="0" fontId="3" fillId="0" borderId="0" xfId="0" applyFont="1" applyAlignment="1" applyProtection="1">
      <alignment horizontal="left"/>
      <protection/>
    </xf>
    <xf numFmtId="0" fontId="0" fillId="40" borderId="0" xfId="0" applyFill="1" applyAlignment="1" applyProtection="1">
      <alignment horizontal="left"/>
      <protection/>
    </xf>
    <xf numFmtId="0" fontId="49" fillId="40" borderId="0" xfId="0" applyFont="1" applyFill="1" applyAlignment="1" applyProtection="1">
      <alignment horizontal="left"/>
      <protection/>
    </xf>
    <xf numFmtId="0" fontId="51" fillId="0" borderId="0" xfId="0" applyFont="1" applyFill="1" applyAlignment="1" applyProtection="1">
      <alignment horizontal="left"/>
      <protection/>
    </xf>
    <xf numFmtId="0" fontId="3" fillId="0" borderId="0" xfId="0" applyFont="1" applyFill="1" applyAlignment="1" applyProtection="1">
      <alignment horizontal="left"/>
      <protection/>
    </xf>
    <xf numFmtId="0" fontId="53" fillId="0" borderId="0" xfId="0" applyFont="1" applyAlignment="1" applyProtection="1">
      <alignment horizontal="left"/>
      <protection/>
    </xf>
    <xf numFmtId="0" fontId="40" fillId="0" borderId="0" xfId="0" applyFont="1" applyAlignment="1" applyProtection="1">
      <alignment horizontal="left"/>
      <protection/>
    </xf>
    <xf numFmtId="0" fontId="40" fillId="0" borderId="0" xfId="0" applyFont="1" applyAlignment="1" applyProtection="1">
      <alignment horizontal="right"/>
      <protection/>
    </xf>
    <xf numFmtId="0" fontId="0" fillId="0" borderId="0" xfId="0" applyFont="1" applyAlignment="1" applyProtection="1">
      <alignment horizontal="left"/>
      <protection/>
    </xf>
    <xf numFmtId="49" fontId="0" fillId="0" borderId="0" xfId="0" applyNumberFormat="1" applyAlignment="1" applyProtection="1">
      <alignment horizontal="left"/>
      <protection/>
    </xf>
    <xf numFmtId="49" fontId="0" fillId="0" borderId="0" xfId="0" applyNumberFormat="1" applyAlignment="1" applyProtection="1">
      <alignment horizontal="left" vertical="center"/>
      <protection/>
    </xf>
    <xf numFmtId="0" fontId="53" fillId="0" borderId="0" xfId="0" applyFont="1" applyAlignment="1" applyProtection="1">
      <alignment horizontal="left" vertical="center"/>
      <protection/>
    </xf>
    <xf numFmtId="0" fontId="35" fillId="0" borderId="0" xfId="0" applyFont="1" applyAlignment="1" applyProtection="1">
      <alignment horizontal="left"/>
      <protection/>
    </xf>
    <xf numFmtId="0" fontId="47" fillId="0" borderId="0" xfId="0" applyFont="1" applyAlignment="1" applyProtection="1">
      <alignment horizontal="left"/>
      <protection/>
    </xf>
    <xf numFmtId="0" fontId="55" fillId="0" borderId="0" xfId="0" applyFont="1" applyAlignment="1" applyProtection="1">
      <alignment horizontal="left"/>
      <protection/>
    </xf>
    <xf numFmtId="0" fontId="56" fillId="0" borderId="0" xfId="0" applyFont="1" applyAlignment="1" applyProtection="1">
      <alignment horizontal="left"/>
      <protection/>
    </xf>
    <xf numFmtId="0" fontId="0" fillId="0" borderId="0" xfId="0" applyFont="1" applyFill="1" applyAlignment="1" applyProtection="1">
      <alignment horizontal="left"/>
      <protection/>
    </xf>
    <xf numFmtId="2" fontId="9" fillId="71" borderId="0" xfId="0" applyNumberFormat="1" applyFont="1" applyFill="1" applyBorder="1" applyAlignment="1" applyProtection="1" quotePrefix="1">
      <alignment vertical="center"/>
      <protection/>
    </xf>
    <xf numFmtId="2" fontId="0" fillId="49" borderId="0" xfId="0" applyNumberFormat="1" applyFont="1" applyFill="1" applyBorder="1" applyAlignment="1" applyProtection="1" quotePrefix="1">
      <alignment vertical="center"/>
      <protection/>
    </xf>
    <xf numFmtId="175" fontId="0" fillId="49" borderId="0" xfId="0" applyNumberFormat="1" applyFont="1" applyFill="1" applyBorder="1" applyAlignment="1" applyProtection="1">
      <alignment vertical="center"/>
      <protection/>
    </xf>
    <xf numFmtId="2" fontId="9" fillId="49" borderId="0" xfId="0" applyNumberFormat="1" applyFont="1" applyFill="1" applyBorder="1" applyAlignment="1" applyProtection="1" quotePrefix="1">
      <alignment vertical="center"/>
      <protection/>
    </xf>
    <xf numFmtId="213" fontId="5" fillId="49" borderId="0" xfId="0" applyNumberFormat="1" applyFont="1" applyFill="1" applyBorder="1" applyAlignment="1" applyProtection="1">
      <alignment vertical="center" shrinkToFit="1"/>
      <protection/>
    </xf>
    <xf numFmtId="2" fontId="13" fillId="49" borderId="0" xfId="0" applyNumberFormat="1" applyFont="1" applyFill="1" applyBorder="1" applyAlignment="1" applyProtection="1" quotePrefix="1">
      <alignment vertical="center" wrapText="1"/>
      <protection/>
    </xf>
    <xf numFmtId="0" fontId="0" fillId="41" borderId="0" xfId="0" applyFill="1" applyBorder="1" applyAlignment="1" applyProtection="1">
      <alignment horizontal="left"/>
      <protection/>
    </xf>
    <xf numFmtId="0" fontId="52" fillId="41" borderId="0" xfId="49" applyFont="1" applyFill="1" applyBorder="1" applyAlignment="1" applyProtection="1">
      <alignment horizontal="center" vertical="center" textRotation="90"/>
      <protection/>
    </xf>
    <xf numFmtId="0" fontId="0" fillId="0" borderId="0" xfId="0" applyFont="1" applyAlignment="1" applyProtection="1" quotePrefix="1">
      <alignment horizontal="left"/>
      <protection/>
    </xf>
    <xf numFmtId="0" fontId="3" fillId="0" borderId="26" xfId="0" applyFont="1" applyBorder="1" applyAlignment="1" applyProtection="1">
      <alignment horizontal="left"/>
      <protection/>
    </xf>
    <xf numFmtId="0" fontId="0" fillId="0" borderId="26" xfId="0" applyBorder="1" applyAlignment="1" applyProtection="1">
      <alignment horizontal="left"/>
      <protection/>
    </xf>
    <xf numFmtId="0" fontId="0" fillId="41" borderId="0" xfId="0" applyFill="1" applyBorder="1" applyAlignment="1" applyProtection="1">
      <alignment/>
      <protection/>
    </xf>
    <xf numFmtId="0" fontId="34" fillId="0" borderId="0" xfId="0" applyFont="1" applyAlignment="1" applyProtection="1">
      <alignment/>
      <protection/>
    </xf>
    <xf numFmtId="49" fontId="0" fillId="44" borderId="19" xfId="0" applyNumberFormat="1" applyFont="1" applyFill="1" applyBorder="1" applyAlignment="1" applyProtection="1">
      <alignment horizontal="left"/>
      <protection/>
    </xf>
    <xf numFmtId="49" fontId="0" fillId="44" borderId="12" xfId="0" applyNumberFormat="1" applyFont="1" applyFill="1" applyBorder="1" applyAlignment="1" applyProtection="1">
      <alignment horizontal="left"/>
      <protection locked="0"/>
    </xf>
    <xf numFmtId="0" fontId="0" fillId="72" borderId="141" xfId="0" applyFont="1" applyFill="1" applyBorder="1" applyAlignment="1" applyProtection="1">
      <alignment horizontal="left"/>
      <protection/>
    </xf>
    <xf numFmtId="0" fontId="0" fillId="72" borderId="142" xfId="0" applyFill="1" applyBorder="1" applyAlignment="1" applyProtection="1">
      <alignment horizontal="left"/>
      <protection/>
    </xf>
    <xf numFmtId="0" fontId="0" fillId="72" borderId="143" xfId="0" applyFill="1" applyBorder="1" applyAlignment="1" applyProtection="1">
      <alignment horizontal="left"/>
      <protection/>
    </xf>
    <xf numFmtId="0" fontId="0" fillId="72" borderId="144" xfId="0" applyFont="1" applyFill="1" applyBorder="1" applyAlignment="1" applyProtection="1">
      <alignment horizontal="left"/>
      <protection/>
    </xf>
    <xf numFmtId="0" fontId="0" fillId="72" borderId="0" xfId="0" applyFill="1" applyBorder="1" applyAlignment="1" applyProtection="1">
      <alignment horizontal="left"/>
      <protection/>
    </xf>
    <xf numFmtId="0" fontId="0" fillId="72" borderId="145" xfId="0" applyFill="1" applyBorder="1" applyAlignment="1" applyProtection="1">
      <alignment horizontal="left"/>
      <protection/>
    </xf>
    <xf numFmtId="0" fontId="0" fillId="72" borderId="146" xfId="0" applyFill="1" applyBorder="1" applyAlignment="1" applyProtection="1">
      <alignment horizontal="left"/>
      <protection/>
    </xf>
    <xf numFmtId="0" fontId="0" fillId="72" borderId="147" xfId="0" applyFill="1" applyBorder="1" applyAlignment="1" applyProtection="1">
      <alignment horizontal="left"/>
      <protection/>
    </xf>
    <xf numFmtId="0" fontId="3" fillId="72" borderId="146" xfId="0" applyFont="1" applyFill="1" applyBorder="1" applyAlignment="1" applyProtection="1">
      <alignment horizontal="left" indent="1"/>
      <protection/>
    </xf>
    <xf numFmtId="0" fontId="3" fillId="72" borderId="146" xfId="0" applyFont="1" applyFill="1" applyBorder="1" applyAlignment="1" applyProtection="1">
      <alignment horizontal="left"/>
      <protection/>
    </xf>
    <xf numFmtId="14" fontId="0" fillId="41" borderId="0" xfId="0" applyNumberFormat="1" applyFont="1" applyFill="1" applyAlignment="1" applyProtection="1">
      <alignment horizontal="center" vertical="center"/>
      <protection/>
    </xf>
    <xf numFmtId="3" fontId="150" fillId="64" borderId="0" xfId="0" applyNumberFormat="1" applyFont="1" applyFill="1" applyAlignment="1" applyProtection="1">
      <alignment horizontal="center" vertical="center"/>
      <protection/>
    </xf>
    <xf numFmtId="0" fontId="152" fillId="0" borderId="0" xfId="0" applyFont="1" applyFill="1" applyAlignment="1" applyProtection="1">
      <alignment horizontal="left"/>
      <protection/>
    </xf>
    <xf numFmtId="202" fontId="0" fillId="55" borderId="125" xfId="0" applyNumberFormat="1" applyFont="1" applyFill="1" applyBorder="1" applyAlignment="1" applyProtection="1">
      <alignment horizontal="left" vertical="center"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0" fontId="51" fillId="64" borderId="0" xfId="0" applyFont="1" applyFill="1" applyAlignment="1" applyProtection="1">
      <alignment vertical="center"/>
      <protection/>
    </xf>
    <xf numFmtId="0" fontId="175" fillId="64" borderId="0" xfId="0" applyFont="1" applyFill="1" applyAlignment="1" applyProtection="1">
      <alignment vertical="center"/>
      <protection/>
    </xf>
    <xf numFmtId="3" fontId="51" fillId="64" borderId="0" xfId="0" applyNumberFormat="1" applyFont="1" applyFill="1" applyAlignment="1" applyProtection="1">
      <alignment vertical="center"/>
      <protection/>
    </xf>
    <xf numFmtId="0" fontId="58" fillId="0" borderId="0" xfId="0" applyFont="1" applyAlignment="1" applyProtection="1">
      <alignment vertical="center"/>
      <protection/>
    </xf>
    <xf numFmtId="171" fontId="9" fillId="45" borderId="0" xfId="0" applyNumberFormat="1" applyFont="1" applyFill="1" applyBorder="1" applyAlignment="1" applyProtection="1">
      <alignment vertical="center"/>
      <protection/>
    </xf>
    <xf numFmtId="0" fontId="0" fillId="49" borderId="0" xfId="48" applyFont="1" applyFill="1" applyBorder="1" applyAlignment="1" applyProtection="1">
      <alignment horizontal="center"/>
      <protection/>
    </xf>
    <xf numFmtId="0" fontId="0" fillId="58" borderId="113" xfId="0" applyFont="1" applyFill="1" applyBorder="1" applyAlignment="1" applyProtection="1">
      <alignment vertical="center"/>
      <protection/>
    </xf>
    <xf numFmtId="0" fontId="0" fillId="58" borderId="121" xfId="0" applyFont="1" applyFill="1" applyBorder="1" applyAlignment="1" applyProtection="1">
      <alignment vertical="center"/>
      <protection/>
    </xf>
    <xf numFmtId="0" fontId="0" fillId="58" borderId="106" xfId="0" applyFont="1" applyFill="1" applyBorder="1" applyAlignment="1" applyProtection="1">
      <alignment vertical="center"/>
      <protection/>
    </xf>
    <xf numFmtId="0" fontId="0" fillId="58" borderId="122" xfId="0" applyFont="1" applyFill="1" applyBorder="1" applyAlignment="1" applyProtection="1">
      <alignment vertical="center"/>
      <protection/>
    </xf>
    <xf numFmtId="0" fontId="21" fillId="58" borderId="0" xfId="48" applyFont="1" applyFill="1" applyBorder="1" applyAlignment="1" applyProtection="1">
      <alignment vertical="center"/>
      <protection/>
    </xf>
    <xf numFmtId="176" fontId="11" fillId="58" borderId="111" xfId="0" applyNumberFormat="1" applyFont="1" applyFill="1" applyBorder="1" applyAlignment="1" applyProtection="1">
      <alignment vertical="center" shrinkToFit="1"/>
      <protection/>
    </xf>
    <xf numFmtId="176" fontId="9" fillId="58" borderId="111" xfId="0" applyNumberFormat="1" applyFont="1" applyFill="1" applyBorder="1" applyAlignment="1" applyProtection="1">
      <alignment vertical="center" shrinkToFit="1"/>
      <protection/>
    </xf>
    <xf numFmtId="2" fontId="12" fillId="58" borderId="113" xfId="0" applyNumberFormat="1" applyFont="1" applyFill="1" applyBorder="1" applyAlignment="1" applyProtection="1">
      <alignment vertical="top"/>
      <protection/>
    </xf>
    <xf numFmtId="0" fontId="4" fillId="58" borderId="113" xfId="0" applyFont="1" applyFill="1" applyBorder="1" applyAlignment="1" applyProtection="1">
      <alignment vertical="center" textRotation="90"/>
      <protection/>
    </xf>
    <xf numFmtId="0" fontId="13" fillId="49" borderId="0" xfId="0" applyFont="1" applyFill="1" applyBorder="1" applyAlignment="1" applyProtection="1">
      <alignment vertical="center"/>
      <protection/>
    </xf>
    <xf numFmtId="0" fontId="5" fillId="65" borderId="113" xfId="0" applyFont="1" applyFill="1" applyBorder="1" applyAlignment="1" applyProtection="1">
      <alignment vertical="center"/>
      <protection/>
    </xf>
    <xf numFmtId="0" fontId="8" fillId="58" borderId="111" xfId="48" applyFont="1" applyFill="1" applyBorder="1" applyAlignment="1" applyProtection="1">
      <alignment horizontal="left" vertical="center"/>
      <protection/>
    </xf>
    <xf numFmtId="0" fontId="15" fillId="58" borderId="113" xfId="48" applyFont="1" applyFill="1" applyBorder="1" applyAlignment="1" applyProtection="1">
      <alignment/>
      <protection/>
    </xf>
    <xf numFmtId="0" fontId="8" fillId="58" borderId="113" xfId="48" applyFont="1" applyFill="1" applyBorder="1" applyAlignment="1" applyProtection="1">
      <alignment horizontal="left" vertical="center"/>
      <protection/>
    </xf>
    <xf numFmtId="2" fontId="11" fillId="54" borderId="148" xfId="0" applyNumberFormat="1" applyFont="1" applyFill="1" applyBorder="1" applyAlignment="1" applyProtection="1">
      <alignment vertical="center"/>
      <protection/>
    </xf>
    <xf numFmtId="0" fontId="0" fillId="54" borderId="148" xfId="0" applyFont="1" applyFill="1" applyBorder="1" applyAlignment="1" applyProtection="1">
      <alignment vertical="center"/>
      <protection/>
    </xf>
    <xf numFmtId="217" fontId="5" fillId="65" borderId="111" xfId="0" applyNumberFormat="1" applyFont="1" applyFill="1" applyBorder="1" applyAlignment="1" applyProtection="1">
      <alignment vertical="center"/>
      <protection/>
    </xf>
    <xf numFmtId="0" fontId="0" fillId="58" borderId="111" xfId="48" applyFont="1" applyFill="1" applyBorder="1" applyAlignment="1" applyProtection="1">
      <alignment vertical="center"/>
      <protection/>
    </xf>
    <xf numFmtId="0" fontId="0" fillId="49" borderId="106" xfId="0" applyFont="1" applyFill="1" applyBorder="1" applyAlignment="1" applyProtection="1">
      <alignment vertical="center"/>
      <protection/>
    </xf>
    <xf numFmtId="0" fontId="0" fillId="49" borderId="148" xfId="0" applyFont="1" applyFill="1" applyBorder="1" applyAlignment="1" applyProtection="1">
      <alignment vertical="center"/>
      <protection/>
    </xf>
    <xf numFmtId="218" fontId="0" fillId="49" borderId="148" xfId="0" applyNumberFormat="1" applyFont="1" applyFill="1" applyBorder="1" applyAlignment="1" applyProtection="1">
      <alignment vertical="center" shrinkToFit="1"/>
      <protection/>
    </xf>
    <xf numFmtId="0" fontId="0" fillId="54" borderId="149" xfId="0" applyFont="1" applyFill="1" applyBorder="1" applyAlignment="1" applyProtection="1">
      <alignment vertical="center"/>
      <protection/>
    </xf>
    <xf numFmtId="0" fontId="0" fillId="54" borderId="150" xfId="0" applyFont="1" applyFill="1" applyBorder="1" applyAlignment="1" applyProtection="1">
      <alignment vertical="center"/>
      <protection/>
    </xf>
    <xf numFmtId="0" fontId="21" fillId="41" borderId="151" xfId="48" applyFont="1" applyFill="1" applyBorder="1" applyAlignment="1" applyProtection="1">
      <alignment vertical="center"/>
      <protection/>
    </xf>
    <xf numFmtId="0" fontId="21" fillId="41" borderId="148" xfId="48" applyFont="1" applyFill="1" applyBorder="1" applyAlignment="1" applyProtection="1">
      <alignment vertical="center"/>
      <protection/>
    </xf>
    <xf numFmtId="0" fontId="21" fillId="41" borderId="152" xfId="48" applyFont="1" applyFill="1" applyBorder="1" applyAlignment="1" applyProtection="1">
      <alignment vertical="center"/>
      <protection/>
    </xf>
    <xf numFmtId="0" fontId="5" fillId="41" borderId="149" xfId="0" applyFont="1" applyFill="1" applyBorder="1" applyAlignment="1" applyProtection="1">
      <alignment vertical="center"/>
      <protection/>
    </xf>
    <xf numFmtId="0" fontId="5" fillId="41" borderId="150" xfId="0" applyFont="1" applyFill="1" applyBorder="1" applyAlignment="1" applyProtection="1">
      <alignment vertical="center"/>
      <protection/>
    </xf>
    <xf numFmtId="0" fontId="0" fillId="41" borderId="150" xfId="0" applyFont="1" applyFill="1" applyBorder="1" applyAlignment="1" applyProtection="1">
      <alignment vertical="center"/>
      <protection/>
    </xf>
    <xf numFmtId="0" fontId="13" fillId="0" borderId="150" xfId="0" applyFont="1" applyBorder="1" applyAlignment="1" applyProtection="1">
      <alignment vertical="center"/>
      <protection/>
    </xf>
    <xf numFmtId="0" fontId="5" fillId="41" borderId="153" xfId="0" applyFont="1" applyFill="1" applyBorder="1" applyAlignment="1" applyProtection="1">
      <alignment vertical="center"/>
      <protection/>
    </xf>
    <xf numFmtId="0" fontId="44" fillId="31" borderId="0" xfId="48" applyFont="1" applyFill="1" applyBorder="1" applyAlignment="1" applyProtection="1">
      <alignment horizontal="left"/>
      <protection locked="0"/>
    </xf>
    <xf numFmtId="0" fontId="44" fillId="31" borderId="0" xfId="48" applyFont="1" applyFill="1" applyBorder="1" applyAlignment="1" applyProtection="1">
      <alignment horizontal="left"/>
      <protection/>
    </xf>
    <xf numFmtId="0" fontId="59" fillId="31" borderId="0" xfId="48" applyFont="1" applyFill="1" applyAlignment="1" applyProtection="1">
      <alignment horizontal="left"/>
      <protection/>
    </xf>
    <xf numFmtId="0" fontId="44" fillId="31" borderId="106" xfId="48" applyFont="1" applyFill="1" applyBorder="1" applyAlignment="1" applyProtection="1">
      <alignment horizontal="left"/>
      <protection/>
    </xf>
    <xf numFmtId="0" fontId="176" fillId="48" borderId="0" xfId="0" applyFont="1" applyFill="1" applyAlignment="1" applyProtection="1">
      <alignment horizontal="left"/>
      <protection/>
    </xf>
    <xf numFmtId="0" fontId="0" fillId="48" borderId="0" xfId="0" applyFont="1" applyFill="1" applyAlignment="1" applyProtection="1">
      <alignment horizontal="left"/>
      <protection/>
    </xf>
    <xf numFmtId="0" fontId="0" fillId="48" borderId="0" xfId="0" applyFill="1" applyAlignment="1" applyProtection="1">
      <alignment horizontal="left"/>
      <protection/>
    </xf>
    <xf numFmtId="224" fontId="0" fillId="34" borderId="24" xfId="0" applyNumberFormat="1" applyFont="1" applyFill="1" applyBorder="1" applyAlignment="1" applyProtection="1">
      <alignment horizontal="center" vertical="center"/>
      <protection/>
    </xf>
    <xf numFmtId="0" fontId="11" fillId="41" borderId="0" xfId="0" applyFont="1" applyFill="1" applyAlignment="1" applyProtection="1">
      <alignment vertical="center"/>
      <protection/>
    </xf>
    <xf numFmtId="0" fontId="0" fillId="41" borderId="0" xfId="48" applyFont="1" applyFill="1" applyBorder="1" applyAlignment="1" applyProtection="1">
      <alignment horizontal="center" vertical="center" wrapText="1"/>
      <protection/>
    </xf>
    <xf numFmtId="0" fontId="21" fillId="41" borderId="0" xfId="48" applyFont="1" applyFill="1" applyAlignment="1" applyProtection="1">
      <alignment horizontal="center" vertical="center"/>
      <protection/>
    </xf>
    <xf numFmtId="0" fontId="0" fillId="41" borderId="113" xfId="48" applyFont="1" applyFill="1" applyBorder="1" applyAlignment="1" applyProtection="1">
      <alignment vertical="center" wrapText="1"/>
      <protection/>
    </xf>
    <xf numFmtId="0" fontId="0" fillId="41" borderId="111" xfId="48" applyFont="1" applyFill="1" applyBorder="1" applyAlignment="1" applyProtection="1">
      <alignment vertical="center" wrapText="1"/>
      <protection/>
    </xf>
    <xf numFmtId="0" fontId="0" fillId="41" borderId="113" xfId="48" applyFont="1" applyFill="1" applyBorder="1" applyAlignment="1" applyProtection="1">
      <alignment vertical="center"/>
      <protection/>
    </xf>
    <xf numFmtId="0" fontId="0" fillId="41" borderId="111" xfId="48" applyFont="1" applyFill="1" applyBorder="1" applyAlignment="1" applyProtection="1">
      <alignment vertical="center"/>
      <protection/>
    </xf>
    <xf numFmtId="0" fontId="0" fillId="41" borderId="113" xfId="48" applyFont="1" applyFill="1" applyBorder="1" applyAlignment="1" applyProtection="1">
      <alignment horizontal="left" vertical="center" indent="1"/>
      <protection/>
    </xf>
    <xf numFmtId="0" fontId="0" fillId="41" borderId="113" xfId="0" applyFont="1" applyFill="1" applyBorder="1" applyAlignment="1">
      <alignment horizontal="left" indent="1"/>
    </xf>
    <xf numFmtId="0" fontId="51" fillId="41" borderId="113" xfId="0" applyFont="1" applyFill="1" applyBorder="1" applyAlignment="1">
      <alignment horizontal="left" indent="1"/>
    </xf>
    <xf numFmtId="0" fontId="0" fillId="41" borderId="113" xfId="0" applyFont="1" applyFill="1" applyBorder="1" applyAlignment="1">
      <alignment horizontal="left"/>
    </xf>
    <xf numFmtId="0" fontId="150" fillId="41" borderId="113" xfId="48" applyFont="1" applyFill="1" applyBorder="1" applyAlignment="1" applyProtection="1">
      <alignment horizontal="left" vertical="center" indent="1"/>
      <protection/>
    </xf>
    <xf numFmtId="0" fontId="161" fillId="41" borderId="113" xfId="48" applyFont="1" applyFill="1" applyBorder="1" applyAlignment="1" applyProtection="1">
      <alignment horizontal="left" vertical="center" indent="1"/>
      <protection/>
    </xf>
    <xf numFmtId="0" fontId="161" fillId="41" borderId="113" xfId="48" applyFont="1" applyFill="1" applyBorder="1" applyAlignment="1" applyProtection="1">
      <alignment horizontal="left" vertical="center" wrapText="1" indent="1"/>
      <protection/>
    </xf>
    <xf numFmtId="0" fontId="161" fillId="41" borderId="0" xfId="48" applyFont="1" applyFill="1" applyBorder="1" applyAlignment="1" applyProtection="1">
      <alignment vertical="center"/>
      <protection/>
    </xf>
    <xf numFmtId="3" fontId="0" fillId="41" borderId="0" xfId="48" applyNumberFormat="1" applyFont="1" applyFill="1" applyBorder="1" applyAlignment="1" applyProtection="1">
      <alignment horizontal="center" vertical="center" wrapText="1"/>
      <protection/>
    </xf>
    <xf numFmtId="0" fontId="0" fillId="44" borderId="0" xfId="48" applyFont="1" applyFill="1" applyBorder="1" applyAlignment="1" applyProtection="1">
      <alignment horizontal="center" vertical="center" wrapText="1"/>
      <protection locked="0"/>
    </xf>
    <xf numFmtId="0" fontId="0" fillId="41" borderId="109" xfId="48" applyFont="1" applyFill="1" applyBorder="1" applyAlignment="1" applyProtection="1">
      <alignment vertical="center"/>
      <protection/>
    </xf>
    <xf numFmtId="0" fontId="0" fillId="41" borderId="110" xfId="48" applyFont="1" applyFill="1" applyBorder="1" applyAlignment="1" applyProtection="1">
      <alignment vertical="center"/>
      <protection/>
    </xf>
    <xf numFmtId="0" fontId="0" fillId="41" borderId="121" xfId="48" applyFont="1" applyFill="1" applyBorder="1" applyAlignment="1" applyProtection="1">
      <alignment vertical="center"/>
      <protection/>
    </xf>
    <xf numFmtId="0" fontId="0" fillId="41" borderId="106" xfId="48" applyFont="1" applyFill="1" applyBorder="1" applyAlignment="1" applyProtection="1">
      <alignment vertical="center"/>
      <protection/>
    </xf>
    <xf numFmtId="0" fontId="0" fillId="41" borderId="122" xfId="48" applyFont="1" applyFill="1" applyBorder="1" applyAlignment="1" applyProtection="1">
      <alignment vertical="center"/>
      <protection/>
    </xf>
    <xf numFmtId="0" fontId="4" fillId="41" borderId="0" xfId="48" applyFont="1" applyFill="1" applyBorder="1" applyAlignment="1" applyProtection="1">
      <alignment vertical="center"/>
      <protection/>
    </xf>
    <xf numFmtId="0" fontId="51" fillId="41" borderId="113" xfId="48" applyFont="1" applyFill="1" applyBorder="1" applyAlignment="1" applyProtection="1">
      <alignment horizontal="left" vertical="center" indent="1"/>
      <protection/>
    </xf>
    <xf numFmtId="0" fontId="0" fillId="41" borderId="108" xfId="48" applyFont="1" applyFill="1" applyBorder="1" applyAlignment="1" applyProtection="1">
      <alignment vertical="center"/>
      <protection/>
    </xf>
    <xf numFmtId="0" fontId="0" fillId="45" borderId="0" xfId="48" applyFont="1" applyFill="1" applyBorder="1" applyAlignment="1" applyProtection="1">
      <alignment vertical="center" wrapText="1"/>
      <protection/>
    </xf>
    <xf numFmtId="0" fontId="0" fillId="45" borderId="111" xfId="48" applyFont="1" applyFill="1" applyBorder="1" applyAlignment="1" applyProtection="1">
      <alignment vertical="center" wrapText="1"/>
      <protection/>
    </xf>
    <xf numFmtId="0" fontId="0" fillId="45" borderId="113" xfId="48" applyFont="1" applyFill="1" applyBorder="1" applyAlignment="1" applyProtection="1">
      <alignment vertical="center" wrapText="1"/>
      <protection/>
    </xf>
    <xf numFmtId="0" fontId="150" fillId="45" borderId="113" xfId="48" applyFont="1" applyFill="1" applyBorder="1" applyAlignment="1" applyProtection="1">
      <alignment horizontal="left" vertical="center" indent="1"/>
      <protection/>
    </xf>
    <xf numFmtId="0" fontId="150" fillId="45" borderId="0" xfId="48" applyFont="1" applyFill="1" applyBorder="1" applyAlignment="1" applyProtection="1">
      <alignment horizontal="left" vertical="center"/>
      <protection/>
    </xf>
    <xf numFmtId="0" fontId="0" fillId="45" borderId="113" xfId="48" applyFont="1" applyFill="1" applyBorder="1" applyAlignment="1" applyProtection="1">
      <alignment vertical="center"/>
      <protection/>
    </xf>
    <xf numFmtId="0" fontId="0" fillId="45" borderId="0" xfId="48" applyFont="1" applyFill="1" applyBorder="1" applyAlignment="1" applyProtection="1">
      <alignment vertical="center"/>
      <protection/>
    </xf>
    <xf numFmtId="0" fontId="0" fillId="45" borderId="111" xfId="48" applyFont="1" applyFill="1" applyBorder="1" applyAlignment="1" applyProtection="1">
      <alignment vertical="center"/>
      <protection/>
    </xf>
    <xf numFmtId="0" fontId="3" fillId="45" borderId="113" xfId="48" applyFont="1" applyFill="1" applyBorder="1" applyAlignment="1" applyProtection="1">
      <alignment horizontal="left" vertical="center" indent="1"/>
      <protection/>
    </xf>
    <xf numFmtId="0" fontId="0" fillId="45" borderId="154" xfId="0" applyFont="1" applyFill="1" applyBorder="1" applyAlignment="1" applyProtection="1">
      <alignment vertical="center"/>
      <protection/>
    </xf>
    <xf numFmtId="0" fontId="0" fillId="45" borderId="155" xfId="0" applyFont="1" applyFill="1" applyBorder="1" applyAlignment="1" applyProtection="1">
      <alignment vertical="center"/>
      <protection/>
    </xf>
    <xf numFmtId="0" fontId="0" fillId="45" borderId="133" xfId="0" applyFont="1" applyFill="1" applyBorder="1" applyAlignment="1" applyProtection="1">
      <alignment vertical="center"/>
      <protection/>
    </xf>
    <xf numFmtId="227" fontId="13" fillId="41" borderId="79" xfId="0" applyNumberFormat="1" applyFont="1" applyFill="1" applyBorder="1" applyAlignment="1" applyProtection="1">
      <alignment horizontal="right" vertical="center"/>
      <protection/>
    </xf>
    <xf numFmtId="0" fontId="0" fillId="0" borderId="0" xfId="55">
      <alignment/>
      <protection/>
    </xf>
    <xf numFmtId="0" fontId="0" fillId="41" borderId="0" xfId="55" applyFill="1">
      <alignment/>
      <protection/>
    </xf>
    <xf numFmtId="0" fontId="0" fillId="41" borderId="0" xfId="55" applyFont="1" applyFill="1">
      <alignment/>
      <protection/>
    </xf>
    <xf numFmtId="0" fontId="0" fillId="48" borderId="156" xfId="55" applyFill="1" applyBorder="1">
      <alignment/>
      <protection/>
    </xf>
    <xf numFmtId="0" fontId="0" fillId="48" borderId="157" xfId="55" applyFill="1" applyBorder="1">
      <alignment/>
      <protection/>
    </xf>
    <xf numFmtId="0" fontId="0" fillId="48" borderId="158" xfId="55" applyFill="1" applyBorder="1">
      <alignment/>
      <protection/>
    </xf>
    <xf numFmtId="0" fontId="0" fillId="48" borderId="159" xfId="55" applyFill="1" applyBorder="1">
      <alignment/>
      <protection/>
    </xf>
    <xf numFmtId="0" fontId="0" fillId="48" borderId="0" xfId="55" applyFill="1" applyBorder="1">
      <alignment/>
      <protection/>
    </xf>
    <xf numFmtId="0" fontId="0" fillId="48" borderId="160" xfId="55" applyFill="1" applyBorder="1">
      <alignment/>
      <protection/>
    </xf>
    <xf numFmtId="0" fontId="0" fillId="48" borderId="0" xfId="55" applyFont="1" applyFill="1" applyBorder="1">
      <alignment/>
      <protection/>
    </xf>
    <xf numFmtId="0" fontId="177" fillId="48" borderId="0" xfId="55" applyFont="1" applyFill="1" applyBorder="1">
      <alignment/>
      <protection/>
    </xf>
    <xf numFmtId="4" fontId="0" fillId="48" borderId="0" xfId="55" applyNumberFormat="1" applyFill="1" applyBorder="1">
      <alignment/>
      <protection/>
    </xf>
    <xf numFmtId="4" fontId="177" fillId="48" borderId="0" xfId="55" applyNumberFormat="1" applyFont="1" applyFill="1" applyBorder="1">
      <alignment/>
      <protection/>
    </xf>
    <xf numFmtId="0" fontId="0" fillId="31" borderId="0" xfId="55" applyFill="1">
      <alignment/>
      <protection/>
    </xf>
    <xf numFmtId="2" fontId="0" fillId="31" borderId="69" xfId="55" applyNumberFormat="1" applyFill="1" applyBorder="1" applyAlignment="1">
      <alignment horizontal="center"/>
      <protection/>
    </xf>
    <xf numFmtId="2" fontId="0" fillId="31" borderId="63" xfId="55" applyNumberFormat="1" applyFill="1" applyBorder="1" applyAlignment="1">
      <alignment horizontal="center"/>
      <protection/>
    </xf>
    <xf numFmtId="0" fontId="0" fillId="31" borderId="68" xfId="55" applyFill="1" applyBorder="1">
      <alignment/>
      <protection/>
    </xf>
    <xf numFmtId="232" fontId="0" fillId="31" borderId="67" xfId="55" applyNumberFormat="1" applyFill="1" applyBorder="1" applyAlignment="1">
      <alignment horizontal="center"/>
      <protection/>
    </xf>
    <xf numFmtId="232" fontId="0" fillId="31" borderId="0" xfId="55" applyNumberFormat="1" applyFill="1" applyBorder="1" applyAlignment="1">
      <alignment horizontal="center"/>
      <protection/>
    </xf>
    <xf numFmtId="0" fontId="0" fillId="31" borderId="66" xfId="55" applyFont="1" applyFill="1" applyBorder="1">
      <alignment/>
      <protection/>
    </xf>
    <xf numFmtId="0" fontId="0" fillId="31" borderId="61" xfId="55" applyFill="1" applyBorder="1">
      <alignment/>
      <protection/>
    </xf>
    <xf numFmtId="0" fontId="0" fillId="31" borderId="60" xfId="55" applyFill="1" applyBorder="1">
      <alignment/>
      <protection/>
    </xf>
    <xf numFmtId="165" fontId="0" fillId="31" borderId="60" xfId="55" applyNumberFormat="1" applyFill="1" applyBorder="1" applyAlignment="1">
      <alignment horizontal="center"/>
      <protection/>
    </xf>
    <xf numFmtId="0" fontId="0" fillId="31" borderId="65" xfId="55" applyFill="1" applyBorder="1">
      <alignment/>
      <protection/>
    </xf>
    <xf numFmtId="10" fontId="177" fillId="48" borderId="0" xfId="55" applyNumberFormat="1" applyFont="1" applyFill="1" applyBorder="1">
      <alignment/>
      <protection/>
    </xf>
    <xf numFmtId="233" fontId="177" fillId="48" borderId="0" xfId="55" applyNumberFormat="1" applyFont="1" applyFill="1" applyBorder="1">
      <alignment/>
      <protection/>
    </xf>
    <xf numFmtId="0" fontId="0" fillId="48" borderId="160" xfId="55" applyFont="1" applyFill="1" applyBorder="1">
      <alignment/>
      <protection/>
    </xf>
    <xf numFmtId="0" fontId="0" fillId="48" borderId="161" xfId="55" applyFill="1" applyBorder="1">
      <alignment/>
      <protection/>
    </xf>
    <xf numFmtId="0" fontId="0" fillId="48" borderId="162" xfId="55" applyFill="1" applyBorder="1">
      <alignment/>
      <protection/>
    </xf>
    <xf numFmtId="0" fontId="9" fillId="48" borderId="163" xfId="55" applyFont="1" applyFill="1" applyBorder="1">
      <alignment/>
      <protection/>
    </xf>
    <xf numFmtId="0" fontId="11" fillId="41" borderId="0" xfId="55" applyFont="1" applyFill="1">
      <alignment/>
      <protection/>
    </xf>
    <xf numFmtId="0" fontId="0" fillId="31" borderId="66" xfId="55" applyFill="1" applyBorder="1">
      <alignment/>
      <protection/>
    </xf>
    <xf numFmtId="0" fontId="0" fillId="31" borderId="67" xfId="55" applyFill="1" applyBorder="1">
      <alignment/>
      <protection/>
    </xf>
    <xf numFmtId="0" fontId="0" fillId="31" borderId="0" xfId="55" applyFill="1" applyBorder="1">
      <alignment/>
      <protection/>
    </xf>
    <xf numFmtId="165" fontId="0" fillId="31" borderId="0" xfId="55" applyNumberFormat="1" applyFill="1" applyBorder="1" applyAlignment="1">
      <alignment horizontal="center"/>
      <protection/>
    </xf>
    <xf numFmtId="0" fontId="9" fillId="41" borderId="0" xfId="55" applyFont="1" applyFill="1">
      <alignment/>
      <protection/>
    </xf>
    <xf numFmtId="0" fontId="178" fillId="41" borderId="0" xfId="55" applyFont="1" applyFill="1">
      <alignment/>
      <protection/>
    </xf>
    <xf numFmtId="10" fontId="0" fillId="31" borderId="60" xfId="55" applyNumberFormat="1" applyFill="1" applyBorder="1">
      <alignment/>
      <protection/>
    </xf>
    <xf numFmtId="0" fontId="177" fillId="41" borderId="0" xfId="55" applyFont="1" applyFill="1">
      <alignment/>
      <protection/>
    </xf>
    <xf numFmtId="4" fontId="177" fillId="41" borderId="0" xfId="55" applyNumberFormat="1" applyFont="1" applyFill="1">
      <alignment/>
      <protection/>
    </xf>
    <xf numFmtId="9" fontId="0" fillId="31" borderId="60" xfId="55" applyNumberFormat="1" applyFill="1" applyBorder="1">
      <alignment/>
      <protection/>
    </xf>
    <xf numFmtId="2" fontId="0" fillId="31" borderId="164" xfId="55" applyNumberFormat="1" applyFill="1" applyBorder="1" applyAlignment="1">
      <alignment horizontal="center"/>
      <protection/>
    </xf>
    <xf numFmtId="2" fontId="0" fillId="31" borderId="165" xfId="55" applyNumberFormat="1" applyFill="1" applyBorder="1" applyAlignment="1">
      <alignment horizontal="center"/>
      <protection/>
    </xf>
    <xf numFmtId="0" fontId="0" fillId="31" borderId="166" xfId="55" applyFill="1" applyBorder="1">
      <alignment/>
      <protection/>
    </xf>
    <xf numFmtId="0" fontId="177" fillId="0" borderId="0" xfId="55" applyFont="1">
      <alignment/>
      <protection/>
    </xf>
    <xf numFmtId="0" fontId="11" fillId="0" borderId="0" xfId="55" applyFont="1">
      <alignment/>
      <protection/>
    </xf>
    <xf numFmtId="49" fontId="0" fillId="31" borderId="0" xfId="55" applyNumberFormat="1" applyFill="1">
      <alignment/>
      <protection/>
    </xf>
    <xf numFmtId="0" fontId="0" fillId="31" borderId="0" xfId="55" applyFill="1" applyAlignment="1">
      <alignment horizontal="center"/>
      <protection/>
    </xf>
    <xf numFmtId="0" fontId="38" fillId="31" borderId="0" xfId="55" applyFont="1" applyFill="1">
      <alignment/>
      <protection/>
    </xf>
    <xf numFmtId="0" fontId="179" fillId="31" borderId="0" xfId="55" applyFont="1" applyFill="1">
      <alignment/>
      <protection/>
    </xf>
    <xf numFmtId="0" fontId="179" fillId="41" borderId="0" xfId="55" applyFont="1" applyFill="1">
      <alignment/>
      <protection/>
    </xf>
    <xf numFmtId="0" fontId="180" fillId="41" borderId="0" xfId="55" applyFont="1" applyFill="1">
      <alignment/>
      <protection/>
    </xf>
    <xf numFmtId="0" fontId="181" fillId="41" borderId="0" xfId="55" applyFont="1" applyFill="1">
      <alignment/>
      <protection/>
    </xf>
    <xf numFmtId="0" fontId="1" fillId="41" borderId="0" xfId="49" applyFill="1" applyAlignment="1" applyProtection="1">
      <alignment/>
      <protection/>
    </xf>
    <xf numFmtId="0" fontId="0" fillId="41" borderId="0" xfId="55" applyFill="1" applyAlignment="1">
      <alignment horizontal="right"/>
      <protection/>
    </xf>
    <xf numFmtId="0" fontId="150" fillId="41" borderId="0" xfId="55" applyFont="1" applyFill="1">
      <alignment/>
      <protection/>
    </xf>
    <xf numFmtId="0" fontId="63" fillId="41" borderId="0" xfId="55" applyFont="1" applyFill="1">
      <alignment/>
      <protection/>
    </xf>
    <xf numFmtId="0" fontId="182" fillId="41" borderId="0" xfId="55" applyFont="1" applyFill="1">
      <alignment/>
      <protection/>
    </xf>
    <xf numFmtId="0" fontId="183" fillId="41" borderId="0" xfId="55" applyFont="1" applyFill="1">
      <alignment/>
      <protection/>
    </xf>
    <xf numFmtId="0" fontId="10" fillId="41" borderId="0" xfId="55" applyFont="1" applyFill="1">
      <alignment/>
      <protection/>
    </xf>
    <xf numFmtId="0" fontId="0" fillId="41" borderId="0" xfId="55" applyFont="1" applyFill="1" applyAlignment="1">
      <alignment horizontal="left"/>
      <protection/>
    </xf>
    <xf numFmtId="0" fontId="0" fillId="0" borderId="0" xfId="0" applyFont="1" applyBorder="1" applyAlignment="1" applyProtection="1" quotePrefix="1">
      <alignment horizontal="left"/>
      <protection/>
    </xf>
    <xf numFmtId="0" fontId="0" fillId="0" borderId="0" xfId="0" applyBorder="1" applyAlignment="1" applyProtection="1">
      <alignment horizontal="left"/>
      <protection/>
    </xf>
    <xf numFmtId="0" fontId="0" fillId="0" borderId="26" xfId="0" applyFont="1" applyBorder="1" applyAlignment="1" applyProtection="1" quotePrefix="1">
      <alignment horizontal="left"/>
      <protection/>
    </xf>
    <xf numFmtId="0" fontId="150" fillId="0" borderId="0" xfId="0" applyFont="1" applyBorder="1" applyAlignment="1" applyProtection="1">
      <alignment horizontal="left"/>
      <protection/>
    </xf>
    <xf numFmtId="0" fontId="161" fillId="0" borderId="0" xfId="0" applyFont="1" applyAlignment="1" applyProtection="1">
      <alignment horizontal="left"/>
      <protection/>
    </xf>
    <xf numFmtId="0" fontId="161" fillId="0" borderId="0" xfId="0" applyFont="1" applyBorder="1" applyAlignment="1" applyProtection="1" quotePrefix="1">
      <alignment horizontal="left"/>
      <protection/>
    </xf>
    <xf numFmtId="217" fontId="5" fillId="65" borderId="0" xfId="0" applyNumberFormat="1" applyFont="1" applyFill="1" applyBorder="1" applyAlignment="1" applyProtection="1">
      <alignment horizontal="right" vertical="center"/>
      <protection/>
    </xf>
    <xf numFmtId="0" fontId="11" fillId="65" borderId="0" xfId="0" applyFont="1" applyFill="1" applyBorder="1" applyAlignment="1" applyProtection="1">
      <alignment horizontal="center" vertical="center" shrinkToFit="1"/>
      <protection/>
    </xf>
    <xf numFmtId="0" fontId="5" fillId="65" borderId="113" xfId="0" applyFont="1" applyFill="1" applyBorder="1" applyAlignment="1" applyProtection="1">
      <alignment horizontal="left" vertical="center" indent="1"/>
      <protection/>
    </xf>
    <xf numFmtId="0" fontId="5" fillId="65" borderId="0" xfId="0" applyFont="1" applyFill="1" applyBorder="1" applyAlignment="1" applyProtection="1">
      <alignment horizontal="left" vertical="center" indent="1"/>
      <protection/>
    </xf>
    <xf numFmtId="225" fontId="150" fillId="44" borderId="0" xfId="0" applyNumberFormat="1" applyFont="1" applyFill="1" applyAlignment="1" applyProtection="1">
      <alignment horizontal="left" vertical="center" indent="1"/>
      <protection/>
    </xf>
    <xf numFmtId="0" fontId="38" fillId="43" borderId="167" xfId="49" applyFont="1" applyFill="1" applyBorder="1" applyAlignment="1" applyProtection="1">
      <alignment horizontal="center" vertical="center" wrapText="1"/>
      <protection/>
    </xf>
    <xf numFmtId="0" fontId="9" fillId="43" borderId="168" xfId="49" applyFont="1" applyFill="1" applyBorder="1" applyAlignment="1" applyProtection="1">
      <alignment horizontal="center" vertical="center" wrapText="1"/>
      <protection/>
    </xf>
    <xf numFmtId="0" fontId="9" fillId="43" borderId="169" xfId="49" applyFont="1" applyFill="1" applyBorder="1" applyAlignment="1" applyProtection="1">
      <alignment horizontal="center" vertical="center" wrapText="1"/>
      <protection/>
    </xf>
    <xf numFmtId="0" fontId="9" fillId="43" borderId="124" xfId="49" applyFont="1" applyFill="1" applyBorder="1" applyAlignment="1" applyProtection="1">
      <alignment horizontal="center" vertical="center" wrapText="1"/>
      <protection/>
    </xf>
    <xf numFmtId="0" fontId="9" fillId="43" borderId="170" xfId="49" applyFont="1" applyFill="1" applyBorder="1" applyAlignment="1" applyProtection="1">
      <alignment horizontal="center" vertical="center" wrapText="1"/>
      <protection/>
    </xf>
    <xf numFmtId="0" fontId="9" fillId="43" borderId="171" xfId="49" applyFont="1" applyFill="1" applyBorder="1" applyAlignment="1" applyProtection="1">
      <alignment horizontal="center" vertical="center" wrapText="1"/>
      <protection/>
    </xf>
    <xf numFmtId="0" fontId="184" fillId="46" borderId="0" xfId="0" applyFont="1" applyFill="1" applyBorder="1" applyAlignment="1" applyProtection="1">
      <alignment horizontal="right" vertical="top" wrapText="1" indent="1"/>
      <protection/>
    </xf>
    <xf numFmtId="0" fontId="184" fillId="46" borderId="111" xfId="0" applyFont="1" applyFill="1" applyBorder="1" applyAlignment="1" applyProtection="1">
      <alignment horizontal="right" vertical="top" wrapText="1" indent="1"/>
      <protection/>
    </xf>
    <xf numFmtId="0" fontId="184" fillId="46" borderId="106" xfId="0" applyFont="1" applyFill="1" applyBorder="1" applyAlignment="1" applyProtection="1">
      <alignment horizontal="right" vertical="top" wrapText="1" indent="1"/>
      <protection/>
    </xf>
    <xf numFmtId="0" fontId="184" fillId="46" borderId="122" xfId="0" applyFont="1" applyFill="1" applyBorder="1" applyAlignment="1" applyProtection="1">
      <alignment horizontal="right" vertical="top" wrapText="1" indent="1"/>
      <protection/>
    </xf>
    <xf numFmtId="0" fontId="166" fillId="61" borderId="113" xfId="0" applyFont="1" applyFill="1" applyBorder="1" applyAlignment="1" applyProtection="1">
      <alignment horizontal="left" vertical="center" indent="1"/>
      <protection/>
    </xf>
    <xf numFmtId="0" fontId="166" fillId="61" borderId="0" xfId="0" applyFont="1" applyFill="1" applyBorder="1" applyAlignment="1" applyProtection="1">
      <alignment horizontal="left" vertical="center" indent="1"/>
      <protection/>
    </xf>
    <xf numFmtId="0" fontId="165" fillId="61" borderId="0" xfId="0" applyFont="1" applyFill="1" applyBorder="1" applyAlignment="1" applyProtection="1">
      <alignment horizontal="left" vertical="center" shrinkToFit="1"/>
      <protection/>
    </xf>
    <xf numFmtId="0" fontId="5" fillId="65" borderId="111" xfId="0" applyFont="1" applyFill="1" applyBorder="1" applyAlignment="1" applyProtection="1">
      <alignment horizontal="left" vertical="center" indent="1"/>
      <protection/>
    </xf>
    <xf numFmtId="204" fontId="3" fillId="45" borderId="0" xfId="0" applyNumberFormat="1" applyFont="1" applyFill="1" applyBorder="1" applyAlignment="1" applyProtection="1">
      <alignment horizontal="right" vertical="center"/>
      <protection/>
    </xf>
    <xf numFmtId="168" fontId="13" fillId="44" borderId="0" xfId="0" applyNumberFormat="1" applyFont="1" applyFill="1" applyBorder="1" applyAlignment="1" applyProtection="1">
      <alignment horizontal="right" vertical="center"/>
      <protection locked="0"/>
    </xf>
    <xf numFmtId="196" fontId="0" fillId="45" borderId="0" xfId="0" applyNumberFormat="1" applyFont="1" applyFill="1" applyBorder="1" applyAlignment="1" applyProtection="1">
      <alignment horizontal="right" vertical="center" shrinkToFit="1"/>
      <protection/>
    </xf>
    <xf numFmtId="196" fontId="0" fillId="45" borderId="106" xfId="0" applyNumberFormat="1" applyFont="1" applyFill="1" applyBorder="1" applyAlignment="1" applyProtection="1">
      <alignment horizontal="right" vertical="center" shrinkToFit="1"/>
      <protection/>
    </xf>
    <xf numFmtId="176" fontId="0" fillId="55" borderId="126" xfId="0" applyNumberFormat="1" applyFont="1" applyFill="1" applyBorder="1" applyAlignment="1" applyProtection="1">
      <alignment horizontal="center" vertical="center" shrinkToFit="1"/>
      <protection/>
    </xf>
    <xf numFmtId="176" fontId="0" fillId="55" borderId="127" xfId="0" applyNumberFormat="1" applyFont="1" applyFill="1" applyBorder="1" applyAlignment="1" applyProtection="1">
      <alignment horizontal="center" vertical="center" shrinkToFit="1"/>
      <protection/>
    </xf>
    <xf numFmtId="182" fontId="3" fillId="45" borderId="0" xfId="0" applyNumberFormat="1" applyFont="1" applyFill="1" applyBorder="1" applyAlignment="1" applyProtection="1">
      <alignment horizontal="left" vertical="center" indent="1" shrinkToFit="1"/>
      <protection/>
    </xf>
    <xf numFmtId="2" fontId="13" fillId="45" borderId="0" xfId="0" applyNumberFormat="1" applyFont="1" applyFill="1" applyBorder="1" applyAlignment="1" applyProtection="1">
      <alignment horizontal="left" vertical="center"/>
      <protection/>
    </xf>
    <xf numFmtId="0" fontId="5" fillId="47" borderId="113" xfId="0" applyFont="1" applyFill="1" applyBorder="1" applyAlignment="1" applyProtection="1">
      <alignment horizontal="left" vertical="center" indent="1"/>
      <protection/>
    </xf>
    <xf numFmtId="0" fontId="5" fillId="47" borderId="0" xfId="0" applyFont="1" applyFill="1" applyBorder="1" applyAlignment="1" applyProtection="1">
      <alignment horizontal="left" vertical="center" indent="1"/>
      <protection/>
    </xf>
    <xf numFmtId="0" fontId="5" fillId="47" borderId="111" xfId="0" applyFont="1" applyFill="1" applyBorder="1" applyAlignment="1" applyProtection="1">
      <alignment horizontal="left" vertical="center" indent="1"/>
      <protection/>
    </xf>
    <xf numFmtId="184" fontId="3" fillId="45" borderId="0" xfId="0" applyNumberFormat="1" applyFont="1" applyFill="1" applyBorder="1" applyAlignment="1" applyProtection="1">
      <alignment horizontal="left" vertical="center" shrinkToFit="1"/>
      <protection/>
    </xf>
    <xf numFmtId="175" fontId="4" fillId="45" borderId="0" xfId="0" applyNumberFormat="1" applyFont="1" applyFill="1" applyBorder="1" applyAlignment="1" applyProtection="1">
      <alignment horizontal="right" vertical="center" shrinkToFit="1"/>
      <protection/>
    </xf>
    <xf numFmtId="175" fontId="4" fillId="45" borderId="0" xfId="0" applyNumberFormat="1" applyFont="1" applyFill="1" applyBorder="1" applyAlignment="1" applyProtection="1">
      <alignment horizontal="right" vertical="center" indent="1" shrinkToFit="1"/>
      <protection/>
    </xf>
    <xf numFmtId="175" fontId="4" fillId="45" borderId="111" xfId="0" applyNumberFormat="1" applyFont="1" applyFill="1" applyBorder="1" applyAlignment="1" applyProtection="1">
      <alignment horizontal="right" vertical="center" indent="1" shrinkToFit="1"/>
      <protection/>
    </xf>
    <xf numFmtId="176" fontId="3" fillId="45" borderId="0" xfId="0" applyNumberFormat="1" applyFont="1" applyFill="1" applyBorder="1" applyAlignment="1" applyProtection="1">
      <alignment horizontal="center" vertical="center"/>
      <protection/>
    </xf>
    <xf numFmtId="2" fontId="13" fillId="44" borderId="0" xfId="0" applyNumberFormat="1" applyFont="1" applyFill="1" applyBorder="1" applyAlignment="1" applyProtection="1">
      <alignment horizontal="left" vertical="center"/>
      <protection locked="0"/>
    </xf>
    <xf numFmtId="0" fontId="165" fillId="61" borderId="0" xfId="0" applyFont="1" applyFill="1" applyBorder="1" applyAlignment="1" applyProtection="1">
      <alignment horizontal="left" vertical="center" indent="1"/>
      <protection/>
    </xf>
    <xf numFmtId="0" fontId="5" fillId="47" borderId="113" xfId="0" applyFont="1" applyFill="1" applyBorder="1" applyAlignment="1" applyProtection="1">
      <alignment horizontal="left" vertical="center"/>
      <protection/>
    </xf>
    <xf numFmtId="0" fontId="5" fillId="47" borderId="0" xfId="0" applyFont="1" applyFill="1" applyBorder="1" applyAlignment="1" applyProtection="1">
      <alignment horizontal="left" vertical="center"/>
      <protection/>
    </xf>
    <xf numFmtId="199" fontId="185" fillId="47" borderId="0" xfId="0" applyNumberFormat="1" applyFont="1" applyFill="1" applyBorder="1" applyAlignment="1" applyProtection="1">
      <alignment horizontal="center" vertical="center"/>
      <protection/>
    </xf>
    <xf numFmtId="2" fontId="4" fillId="45" borderId="0" xfId="0" applyNumberFormat="1" applyFont="1" applyFill="1" applyBorder="1" applyAlignment="1" applyProtection="1">
      <alignment horizontal="left" vertical="center"/>
      <protection/>
    </xf>
    <xf numFmtId="199" fontId="186" fillId="45" borderId="0" xfId="0" applyNumberFormat="1" applyFont="1" applyFill="1" applyBorder="1" applyAlignment="1" applyProtection="1">
      <alignment horizontal="right" vertical="center"/>
      <protection/>
    </xf>
    <xf numFmtId="168" fontId="5" fillId="47" borderId="0" xfId="0" applyNumberFormat="1" applyFont="1" applyFill="1" applyBorder="1" applyAlignment="1" applyProtection="1">
      <alignment horizontal="right" vertical="center"/>
      <protection/>
    </xf>
    <xf numFmtId="2" fontId="12" fillId="49" borderId="0" xfId="0" applyNumberFormat="1" applyFont="1" applyFill="1" applyBorder="1" applyAlignment="1" applyProtection="1">
      <alignment horizontal="center" vertical="center" shrinkToFit="1"/>
      <protection/>
    </xf>
    <xf numFmtId="2" fontId="12" fillId="49" borderId="111" xfId="0" applyNumberFormat="1" applyFont="1" applyFill="1" applyBorder="1" applyAlignment="1" applyProtection="1">
      <alignment horizontal="center" vertical="center" shrinkToFit="1"/>
      <protection/>
    </xf>
    <xf numFmtId="212" fontId="0" fillId="45" borderId="0" xfId="0" applyNumberFormat="1" applyFont="1" applyFill="1" applyBorder="1" applyAlignment="1" applyProtection="1">
      <alignment horizontal="right" vertical="center" shrinkToFit="1"/>
      <protection/>
    </xf>
    <xf numFmtId="0" fontId="184" fillId="46" borderId="109" xfId="0" applyFont="1" applyFill="1" applyBorder="1" applyAlignment="1" applyProtection="1">
      <alignment horizontal="right" vertical="top" wrapText="1" indent="1"/>
      <protection/>
    </xf>
    <xf numFmtId="0" fontId="184" fillId="46" borderId="110" xfId="0" applyFont="1" applyFill="1" applyBorder="1" applyAlignment="1" applyProtection="1">
      <alignment horizontal="right" vertical="top" wrapText="1" indent="1"/>
      <protection/>
    </xf>
    <xf numFmtId="0" fontId="166" fillId="61" borderId="121" xfId="0" applyFont="1" applyFill="1" applyBorder="1" applyAlignment="1" applyProtection="1">
      <alignment horizontal="left" vertical="center" indent="1"/>
      <protection/>
    </xf>
    <xf numFmtId="0" fontId="166" fillId="61" borderId="106" xfId="0" applyFont="1" applyFill="1" applyBorder="1" applyAlignment="1" applyProtection="1">
      <alignment horizontal="left" vertical="center" indent="1"/>
      <protection/>
    </xf>
    <xf numFmtId="0" fontId="165" fillId="61" borderId="106" xfId="0" applyFont="1" applyFill="1" applyBorder="1" applyAlignment="1" applyProtection="1">
      <alignment horizontal="left" vertical="center" indent="1"/>
      <protection/>
    </xf>
    <xf numFmtId="212" fontId="9" fillId="45" borderId="0" xfId="0" applyNumberFormat="1" applyFont="1" applyFill="1" applyBorder="1" applyAlignment="1" applyProtection="1">
      <alignment horizontal="right" vertical="center"/>
      <protection/>
    </xf>
    <xf numFmtId="2" fontId="9" fillId="45" borderId="113" xfId="0" applyNumberFormat="1" applyFont="1" applyFill="1" applyBorder="1" applyAlignment="1" applyProtection="1" quotePrefix="1">
      <alignment horizontal="left" vertical="center" indent="1"/>
      <protection/>
    </xf>
    <xf numFmtId="2" fontId="9" fillId="45" borderId="0" xfId="0" applyNumberFormat="1" applyFont="1" applyFill="1" applyBorder="1" applyAlignment="1" applyProtection="1" quotePrefix="1">
      <alignment horizontal="left" vertical="center" indent="1"/>
      <protection/>
    </xf>
    <xf numFmtId="175" fontId="13" fillId="45" borderId="0" xfId="0" applyNumberFormat="1" applyFont="1" applyFill="1" applyBorder="1" applyAlignment="1" applyProtection="1">
      <alignment horizontal="right" vertical="center"/>
      <protection/>
    </xf>
    <xf numFmtId="169" fontId="13" fillId="55" borderId="126" xfId="0" applyNumberFormat="1" applyFont="1" applyFill="1" applyBorder="1" applyAlignment="1" applyProtection="1">
      <alignment horizontal="center" vertical="center"/>
      <protection/>
    </xf>
    <xf numFmtId="169" fontId="13" fillId="55" borderId="127" xfId="0" applyNumberFormat="1" applyFont="1" applyFill="1" applyBorder="1" applyAlignment="1" applyProtection="1">
      <alignment horizontal="center" vertical="center"/>
      <protection/>
    </xf>
    <xf numFmtId="206" fontId="11" fillId="49" borderId="113" xfId="0" applyNumberFormat="1" applyFont="1" applyFill="1" applyBorder="1" applyAlignment="1" applyProtection="1">
      <alignment horizontal="right" vertical="center" shrinkToFit="1"/>
      <protection/>
    </xf>
    <xf numFmtId="206" fontId="11" fillId="49" borderId="0" xfId="0" applyNumberFormat="1" applyFont="1" applyFill="1" applyBorder="1" applyAlignment="1" applyProtection="1">
      <alignment horizontal="right" vertical="center" shrinkToFit="1"/>
      <protection/>
    </xf>
    <xf numFmtId="0" fontId="0" fillId="49" borderId="0" xfId="0" applyFont="1" applyFill="1" applyBorder="1" applyAlignment="1" applyProtection="1">
      <alignment horizontal="center" vertical="center"/>
      <protection/>
    </xf>
    <xf numFmtId="190" fontId="12" fillId="49" borderId="113" xfId="0" applyNumberFormat="1" applyFont="1" applyFill="1" applyBorder="1" applyAlignment="1" applyProtection="1">
      <alignment horizontal="left" vertical="center" indent="1" shrinkToFit="1"/>
      <protection/>
    </xf>
    <xf numFmtId="190" fontId="12" fillId="49" borderId="0" xfId="0" applyNumberFormat="1" applyFont="1" applyFill="1" applyBorder="1" applyAlignment="1" applyProtection="1">
      <alignment horizontal="left" vertical="center" indent="1" shrinkToFit="1"/>
      <protection/>
    </xf>
    <xf numFmtId="0" fontId="35" fillId="45" borderId="172" xfId="0" applyFont="1" applyFill="1" applyBorder="1" applyAlignment="1" applyProtection="1">
      <alignment horizontal="center" vertical="center" textRotation="90"/>
      <protection/>
    </xf>
    <xf numFmtId="0" fontId="35" fillId="45" borderId="173" xfId="0" applyFont="1" applyFill="1" applyBorder="1" applyAlignment="1" applyProtection="1">
      <alignment horizontal="center" vertical="center" textRotation="90"/>
      <protection/>
    </xf>
    <xf numFmtId="0" fontId="35" fillId="45" borderId="174" xfId="0" applyFont="1" applyFill="1" applyBorder="1" applyAlignment="1" applyProtection="1">
      <alignment horizontal="center" vertical="center" textRotation="90"/>
      <protection/>
    </xf>
    <xf numFmtId="202" fontId="40" fillId="45" borderId="0" xfId="0" applyNumberFormat="1" applyFont="1" applyFill="1" applyBorder="1" applyAlignment="1" applyProtection="1">
      <alignment horizontal="center" vertical="top" wrapText="1"/>
      <protection/>
    </xf>
    <xf numFmtId="222" fontId="40" fillId="45" borderId="0" xfId="0" applyNumberFormat="1" applyFont="1" applyFill="1" applyBorder="1" applyAlignment="1" applyProtection="1">
      <alignment horizontal="center" vertical="top" wrapText="1" shrinkToFit="1"/>
      <protection/>
    </xf>
    <xf numFmtId="189" fontId="13" fillId="55" borderId="126" xfId="0" applyNumberFormat="1" applyFont="1" applyFill="1" applyBorder="1" applyAlignment="1" applyProtection="1">
      <alignment horizontal="right" vertical="center"/>
      <protection/>
    </xf>
    <xf numFmtId="189" fontId="13" fillId="55" borderId="127" xfId="0" applyNumberFormat="1" applyFont="1" applyFill="1" applyBorder="1" applyAlignment="1" applyProtection="1">
      <alignment horizontal="right" vertical="center"/>
      <protection/>
    </xf>
    <xf numFmtId="0" fontId="5" fillId="54" borderId="109" xfId="0" applyFont="1" applyFill="1" applyBorder="1" applyAlignment="1" applyProtection="1">
      <alignment horizontal="left" vertical="center"/>
      <protection/>
    </xf>
    <xf numFmtId="0" fontId="5" fillId="54" borderId="0" xfId="0" applyFont="1" applyFill="1" applyBorder="1" applyAlignment="1" applyProtection="1">
      <alignment horizontal="left" vertical="center"/>
      <protection/>
    </xf>
    <xf numFmtId="2" fontId="9" fillId="54" borderId="0" xfId="0" applyNumberFormat="1" applyFont="1" applyFill="1" applyBorder="1" applyAlignment="1" applyProtection="1">
      <alignment horizontal="left" vertical="center"/>
      <protection/>
    </xf>
    <xf numFmtId="2" fontId="9" fillId="54" borderId="106" xfId="0" applyNumberFormat="1" applyFont="1" applyFill="1" applyBorder="1" applyAlignment="1" applyProtection="1">
      <alignment horizontal="left" vertical="center"/>
      <protection/>
    </xf>
    <xf numFmtId="3" fontId="19" fillId="54" borderId="0" xfId="0" applyNumberFormat="1" applyFont="1" applyFill="1" applyBorder="1" applyAlignment="1" applyProtection="1">
      <alignment horizontal="left" vertical="center"/>
      <protection/>
    </xf>
    <xf numFmtId="176" fontId="0" fillId="54" borderId="0" xfId="0" applyNumberFormat="1" applyFont="1" applyFill="1" applyBorder="1" applyAlignment="1" applyProtection="1">
      <alignment horizontal="right" vertical="center" shrinkToFit="1"/>
      <protection/>
    </xf>
    <xf numFmtId="0" fontId="0" fillId="41" borderId="0" xfId="0" applyFont="1" applyFill="1" applyBorder="1" applyAlignment="1" applyProtection="1">
      <alignment horizontal="center" vertical="center"/>
      <protection/>
    </xf>
    <xf numFmtId="182" fontId="3" fillId="45" borderId="128" xfId="0" applyNumberFormat="1" applyFont="1" applyFill="1" applyBorder="1" applyAlignment="1" applyProtection="1">
      <alignment horizontal="left" vertical="center" indent="1" shrinkToFit="1"/>
      <protection/>
    </xf>
    <xf numFmtId="176" fontId="5" fillId="54" borderId="109" xfId="0" applyNumberFormat="1" applyFont="1" applyFill="1" applyBorder="1" applyAlignment="1" applyProtection="1">
      <alignment horizontal="right" vertical="center" shrinkToFit="1"/>
      <protection/>
    </xf>
    <xf numFmtId="176" fontId="5" fillId="54" borderId="0" xfId="0" applyNumberFormat="1" applyFont="1" applyFill="1" applyBorder="1" applyAlignment="1" applyProtection="1">
      <alignment horizontal="right" vertical="center" shrinkToFit="1"/>
      <protection/>
    </xf>
    <xf numFmtId="225" fontId="0" fillId="41" borderId="0" xfId="0" applyNumberFormat="1" applyFont="1" applyFill="1" applyBorder="1" applyAlignment="1" applyProtection="1">
      <alignment horizontal="left" vertical="center" indent="1"/>
      <protection/>
    </xf>
    <xf numFmtId="0" fontId="5" fillId="41" borderId="0" xfId="0" applyFont="1" applyFill="1" applyBorder="1" applyAlignment="1" applyProtection="1">
      <alignment horizontal="left" vertical="center"/>
      <protection/>
    </xf>
    <xf numFmtId="0" fontId="187" fillId="59" borderId="0" xfId="48" applyFont="1" applyFill="1" applyBorder="1" applyAlignment="1" applyProtection="1">
      <alignment horizontal="left" vertical="center" shrinkToFit="1"/>
      <protection/>
    </xf>
    <xf numFmtId="0" fontId="0" fillId="49" borderId="0" xfId="48" applyFont="1" applyFill="1" applyBorder="1" applyAlignment="1" applyProtection="1">
      <alignment horizontal="center"/>
      <protection/>
    </xf>
    <xf numFmtId="0" fontId="0" fillId="49" borderId="106" xfId="48" applyFont="1" applyFill="1" applyBorder="1" applyAlignment="1" applyProtection="1">
      <alignment horizontal="center"/>
      <protection/>
    </xf>
    <xf numFmtId="0" fontId="32" fillId="54" borderId="0" xfId="0" applyFont="1" applyFill="1" applyBorder="1" applyAlignment="1" applyProtection="1">
      <alignment horizontal="left" vertical="center"/>
      <protection/>
    </xf>
    <xf numFmtId="2" fontId="36" fillId="45" borderId="175" xfId="0" applyNumberFormat="1" applyFont="1" applyFill="1" applyBorder="1" applyAlignment="1" applyProtection="1">
      <alignment horizontal="left" vertical="center" wrapText="1"/>
      <protection/>
    </xf>
    <xf numFmtId="2" fontId="36" fillId="45" borderId="176" xfId="0" applyNumberFormat="1" applyFont="1" applyFill="1" applyBorder="1" applyAlignment="1" applyProtection="1">
      <alignment horizontal="left" vertical="center" wrapText="1"/>
      <protection/>
    </xf>
    <xf numFmtId="2" fontId="36" fillId="45" borderId="177" xfId="0" applyNumberFormat="1" applyFont="1" applyFill="1" applyBorder="1" applyAlignment="1" applyProtection="1">
      <alignment horizontal="left" vertical="center" wrapText="1"/>
      <protection/>
    </xf>
    <xf numFmtId="2" fontId="36" fillId="45" borderId="178" xfId="0" applyNumberFormat="1" applyFont="1" applyFill="1" applyBorder="1" applyAlignment="1" applyProtection="1">
      <alignment horizontal="left" vertical="center" wrapText="1"/>
      <protection/>
    </xf>
    <xf numFmtId="2" fontId="36" fillId="45" borderId="0" xfId="0" applyNumberFormat="1" applyFont="1" applyFill="1" applyBorder="1" applyAlignment="1" applyProtection="1">
      <alignment horizontal="left" vertical="center" wrapText="1"/>
      <protection/>
    </xf>
    <xf numFmtId="2" fontId="36" fillId="45" borderId="179" xfId="0" applyNumberFormat="1" applyFont="1" applyFill="1" applyBorder="1" applyAlignment="1" applyProtection="1">
      <alignment horizontal="left" vertical="center" wrapText="1"/>
      <protection/>
    </xf>
    <xf numFmtId="2" fontId="36" fillId="45" borderId="180" xfId="0" applyNumberFormat="1" applyFont="1" applyFill="1" applyBorder="1" applyAlignment="1" applyProtection="1">
      <alignment horizontal="left" vertical="center" wrapText="1"/>
      <protection/>
    </xf>
    <xf numFmtId="2" fontId="36" fillId="45" borderId="181" xfId="0" applyNumberFormat="1" applyFont="1" applyFill="1" applyBorder="1" applyAlignment="1" applyProtection="1">
      <alignment horizontal="left" vertical="center" wrapText="1"/>
      <protection/>
    </xf>
    <xf numFmtId="2" fontId="36" fillId="45" borderId="182" xfId="0" applyNumberFormat="1" applyFont="1" applyFill="1" applyBorder="1" applyAlignment="1" applyProtection="1">
      <alignment horizontal="left" vertical="center" wrapText="1"/>
      <protection/>
    </xf>
    <xf numFmtId="0" fontId="148" fillId="59" borderId="0" xfId="48" applyFont="1" applyFill="1" applyBorder="1" applyAlignment="1" applyProtection="1">
      <alignment horizontal="left" vertical="center" shrinkToFit="1"/>
      <protection/>
    </xf>
    <xf numFmtId="0" fontId="4" fillId="49" borderId="113" xfId="0" applyFont="1" applyFill="1" applyBorder="1" applyAlignment="1" applyProtection="1">
      <alignment horizontal="right" vertical="center" textRotation="90"/>
      <protection/>
    </xf>
    <xf numFmtId="0" fontId="4" fillId="49" borderId="0" xfId="0" applyFont="1" applyFill="1" applyBorder="1" applyAlignment="1" applyProtection="1">
      <alignment horizontal="right" vertical="center" textRotation="90"/>
      <protection/>
    </xf>
    <xf numFmtId="171" fontId="13" fillId="49" borderId="183" xfId="0" applyNumberFormat="1" applyFont="1" applyFill="1" applyBorder="1" applyAlignment="1" applyProtection="1">
      <alignment horizontal="center" vertical="center"/>
      <protection/>
    </xf>
    <xf numFmtId="171" fontId="13" fillId="49" borderId="184" xfId="0" applyNumberFormat="1" applyFont="1" applyFill="1" applyBorder="1" applyAlignment="1" applyProtection="1">
      <alignment horizontal="center" vertical="center"/>
      <protection/>
    </xf>
    <xf numFmtId="171" fontId="13" fillId="49" borderId="185" xfId="0" applyNumberFormat="1" applyFont="1" applyFill="1" applyBorder="1" applyAlignment="1" applyProtection="1">
      <alignment horizontal="center" vertical="center"/>
      <protection/>
    </xf>
    <xf numFmtId="0" fontId="3" fillId="45" borderId="175" xfId="0" applyFont="1" applyFill="1" applyBorder="1" applyAlignment="1" applyProtection="1">
      <alignment horizontal="left" vertical="center" wrapText="1"/>
      <protection/>
    </xf>
    <xf numFmtId="0" fontId="3" fillId="45" borderId="176" xfId="0" applyFont="1" applyFill="1" applyBorder="1" applyAlignment="1" applyProtection="1">
      <alignment horizontal="left" vertical="center" wrapText="1"/>
      <protection/>
    </xf>
    <xf numFmtId="0" fontId="3" fillId="45" borderId="177" xfId="0" applyFont="1" applyFill="1" applyBorder="1" applyAlignment="1" applyProtection="1">
      <alignment horizontal="left" vertical="center" wrapText="1"/>
      <protection/>
    </xf>
    <xf numFmtId="0" fontId="3" fillId="45" borderId="178" xfId="0" applyFont="1" applyFill="1" applyBorder="1" applyAlignment="1" applyProtection="1">
      <alignment horizontal="left" vertical="center" wrapText="1"/>
      <protection/>
    </xf>
    <xf numFmtId="0" fontId="3" fillId="45" borderId="0" xfId="0" applyFont="1" applyFill="1" applyBorder="1" applyAlignment="1" applyProtection="1">
      <alignment horizontal="left" vertical="center" wrapText="1"/>
      <protection/>
    </xf>
    <xf numFmtId="0" fontId="3" fillId="45" borderId="179" xfId="0" applyFont="1" applyFill="1" applyBorder="1" applyAlignment="1" applyProtection="1">
      <alignment horizontal="left" vertical="center" wrapText="1"/>
      <protection/>
    </xf>
    <xf numFmtId="0" fontId="3" fillId="45" borderId="180" xfId="0" applyFont="1" applyFill="1" applyBorder="1" applyAlignment="1" applyProtection="1">
      <alignment horizontal="left" vertical="center" wrapText="1"/>
      <protection/>
    </xf>
    <xf numFmtId="0" fontId="3" fillId="45" borderId="181" xfId="0" applyFont="1" applyFill="1" applyBorder="1" applyAlignment="1" applyProtection="1">
      <alignment horizontal="left" vertical="center" wrapText="1"/>
      <protection/>
    </xf>
    <xf numFmtId="0" fontId="3" fillId="45" borderId="182" xfId="0" applyFont="1" applyFill="1" applyBorder="1" applyAlignment="1" applyProtection="1">
      <alignment horizontal="left" vertical="center" wrapText="1"/>
      <protection/>
    </xf>
    <xf numFmtId="212" fontId="40" fillId="45" borderId="0" xfId="0" applyNumberFormat="1" applyFont="1" applyFill="1" applyBorder="1" applyAlignment="1" applyProtection="1">
      <alignment horizontal="center" vertical="center"/>
      <protection/>
    </xf>
    <xf numFmtId="176" fontId="0" fillId="55" borderId="186" xfId="0" applyNumberFormat="1" applyFont="1" applyFill="1" applyBorder="1" applyAlignment="1" applyProtection="1">
      <alignment horizontal="center" vertical="center" shrinkToFit="1"/>
      <protection/>
    </xf>
    <xf numFmtId="176" fontId="0" fillId="55" borderId="187" xfId="0" applyNumberFormat="1" applyFont="1" applyFill="1" applyBorder="1" applyAlignment="1" applyProtection="1">
      <alignment horizontal="center" vertical="center" shrinkToFit="1"/>
      <protection/>
    </xf>
    <xf numFmtId="2" fontId="9" fillId="45" borderId="113" xfId="0" applyNumberFormat="1" applyFont="1" applyFill="1" applyBorder="1" applyAlignment="1" applyProtection="1">
      <alignment horizontal="left" vertical="center" indent="1"/>
      <protection/>
    </xf>
    <xf numFmtId="2" fontId="9" fillId="45" borderId="0" xfId="0" applyNumberFormat="1" applyFont="1" applyFill="1" applyBorder="1" applyAlignment="1" applyProtection="1">
      <alignment horizontal="left" vertical="center" indent="1"/>
      <protection/>
    </xf>
    <xf numFmtId="0" fontId="5" fillId="41" borderId="0" xfId="0" applyFont="1" applyFill="1" applyBorder="1" applyAlignment="1" applyProtection="1">
      <alignment horizontal="right" vertical="center"/>
      <protection/>
    </xf>
    <xf numFmtId="0" fontId="34" fillId="44" borderId="0" xfId="0" applyFont="1" applyFill="1" applyBorder="1" applyAlignment="1" applyProtection="1">
      <alignment horizontal="left" vertical="center" indent="1"/>
      <protection locked="0"/>
    </xf>
    <xf numFmtId="168" fontId="13" fillId="63" borderId="0" xfId="0" applyNumberFormat="1" applyFont="1" applyFill="1" applyBorder="1" applyAlignment="1" applyProtection="1">
      <alignment horizontal="right" vertical="center"/>
      <protection/>
    </xf>
    <xf numFmtId="168" fontId="13" fillId="63" borderId="106" xfId="0" applyNumberFormat="1" applyFont="1" applyFill="1" applyBorder="1" applyAlignment="1" applyProtection="1">
      <alignment horizontal="right" vertical="center"/>
      <protection/>
    </xf>
    <xf numFmtId="2" fontId="156" fillId="48" borderId="0" xfId="0" applyNumberFormat="1" applyFont="1" applyFill="1" applyBorder="1" applyAlignment="1" applyProtection="1">
      <alignment horizontal="left" vertical="center"/>
      <protection/>
    </xf>
    <xf numFmtId="2" fontId="156" fillId="48" borderId="111" xfId="0" applyNumberFormat="1" applyFont="1" applyFill="1" applyBorder="1" applyAlignment="1" applyProtection="1">
      <alignment horizontal="left" vertical="center"/>
      <protection/>
    </xf>
    <xf numFmtId="168" fontId="4" fillId="47" borderId="0" xfId="0" applyNumberFormat="1" applyFont="1" applyFill="1" applyBorder="1" applyAlignment="1" applyProtection="1">
      <alignment horizontal="right" vertical="center"/>
      <protection/>
    </xf>
    <xf numFmtId="196" fontId="13" fillId="45" borderId="0" xfId="0" applyNumberFormat="1" applyFont="1" applyFill="1" applyBorder="1" applyAlignment="1" applyProtection="1">
      <alignment horizontal="right" vertical="center" shrinkToFit="1"/>
      <protection/>
    </xf>
    <xf numFmtId="2" fontId="12" fillId="45" borderId="0" xfId="0" applyNumberFormat="1" applyFont="1" applyFill="1" applyBorder="1" applyAlignment="1" applyProtection="1">
      <alignment horizontal="left" vertical="center" indent="1"/>
      <protection/>
    </xf>
    <xf numFmtId="0" fontId="188" fillId="43" borderId="170" xfId="49" applyFont="1" applyFill="1" applyBorder="1" applyAlignment="1" applyProtection="1">
      <alignment/>
      <protection/>
    </xf>
    <xf numFmtId="0" fontId="188" fillId="43" borderId="171" xfId="49" applyFont="1" applyFill="1" applyBorder="1" applyAlignment="1" applyProtection="1">
      <alignment/>
      <protection/>
    </xf>
    <xf numFmtId="2" fontId="144" fillId="48" borderId="0" xfId="0" applyNumberFormat="1" applyFont="1" applyFill="1" applyBorder="1" applyAlignment="1" applyProtection="1">
      <alignment horizontal="left" vertical="center"/>
      <protection/>
    </xf>
    <xf numFmtId="2" fontId="144" fillId="48" borderId="111" xfId="0" applyNumberFormat="1" applyFont="1" applyFill="1" applyBorder="1" applyAlignment="1" applyProtection="1">
      <alignment horizontal="left" vertical="center"/>
      <protection/>
    </xf>
    <xf numFmtId="2" fontId="144" fillId="48" borderId="106" xfId="0" applyNumberFormat="1" applyFont="1" applyFill="1" applyBorder="1" applyAlignment="1" applyProtection="1">
      <alignment horizontal="left" vertical="center"/>
      <protection/>
    </xf>
    <xf numFmtId="2" fontId="144" fillId="48" borderId="122" xfId="0" applyNumberFormat="1" applyFont="1" applyFill="1" applyBorder="1" applyAlignment="1" applyProtection="1">
      <alignment horizontal="left" vertical="center"/>
      <protection/>
    </xf>
    <xf numFmtId="199" fontId="144" fillId="45" borderId="0" xfId="0" applyNumberFormat="1" applyFont="1" applyFill="1" applyBorder="1" applyAlignment="1" applyProtection="1">
      <alignment horizontal="right" vertical="center"/>
      <protection/>
    </xf>
    <xf numFmtId="202" fontId="13" fillId="55" borderId="126" xfId="0" applyNumberFormat="1" applyFont="1" applyFill="1" applyBorder="1" applyAlignment="1" applyProtection="1">
      <alignment horizontal="center" vertical="center"/>
      <protection/>
    </xf>
    <xf numFmtId="202" fontId="13" fillId="55" borderId="127" xfId="0" applyNumberFormat="1" applyFont="1" applyFill="1" applyBorder="1" applyAlignment="1" applyProtection="1">
      <alignment horizontal="center" vertical="center"/>
      <protection/>
    </xf>
    <xf numFmtId="0" fontId="4" fillId="47" borderId="113" xfId="0" applyFont="1" applyFill="1" applyBorder="1" applyAlignment="1" applyProtection="1">
      <alignment horizontal="left" vertical="center" indent="1"/>
      <protection/>
    </xf>
    <xf numFmtId="0" fontId="4" fillId="47" borderId="0" xfId="0" applyFont="1" applyFill="1" applyBorder="1" applyAlignment="1" applyProtection="1">
      <alignment horizontal="left" vertical="center" indent="1"/>
      <protection/>
    </xf>
    <xf numFmtId="196" fontId="4" fillId="73" borderId="0" xfId="0" applyNumberFormat="1" applyFont="1" applyFill="1" applyBorder="1" applyAlignment="1" applyProtection="1">
      <alignment horizontal="right" vertical="center" shrinkToFit="1"/>
      <protection/>
    </xf>
    <xf numFmtId="166" fontId="4" fillId="55" borderId="186" xfId="0" applyNumberFormat="1" applyFont="1" applyFill="1" applyBorder="1" applyAlignment="1" applyProtection="1">
      <alignment horizontal="right" vertical="center"/>
      <protection/>
    </xf>
    <xf numFmtId="166" fontId="4" fillId="55" borderId="188" xfId="0" applyNumberFormat="1" applyFont="1" applyFill="1" applyBorder="1" applyAlignment="1" applyProtection="1">
      <alignment horizontal="right" vertical="center"/>
      <protection/>
    </xf>
    <xf numFmtId="166" fontId="4" fillId="55" borderId="187" xfId="0" applyNumberFormat="1" applyFont="1" applyFill="1" applyBorder="1" applyAlignment="1" applyProtection="1">
      <alignment horizontal="right" vertical="center"/>
      <protection/>
    </xf>
    <xf numFmtId="0" fontId="154" fillId="46" borderId="0" xfId="0" applyFont="1" applyFill="1" applyBorder="1" applyAlignment="1" applyProtection="1">
      <alignment horizontal="center" vertical="center" wrapText="1"/>
      <protection/>
    </xf>
    <xf numFmtId="0" fontId="160" fillId="46" borderId="0" xfId="0" applyFont="1" applyFill="1" applyAlignment="1" applyProtection="1">
      <alignment horizontal="center" vertical="center" wrapText="1" shrinkToFit="1"/>
      <protection/>
    </xf>
    <xf numFmtId="0" fontId="6" fillId="43" borderId="170" xfId="49" applyFont="1" applyFill="1" applyBorder="1" applyAlignment="1" applyProtection="1">
      <alignment/>
      <protection/>
    </xf>
    <xf numFmtId="0" fontId="6" fillId="43" borderId="171" xfId="49" applyFont="1" applyFill="1" applyBorder="1" applyAlignment="1" applyProtection="1">
      <alignment/>
      <protection/>
    </xf>
    <xf numFmtId="0" fontId="9" fillId="43" borderId="167" xfId="49" applyFont="1" applyFill="1" applyBorder="1" applyAlignment="1" applyProtection="1">
      <alignment horizontal="center" vertical="center"/>
      <protection/>
    </xf>
    <xf numFmtId="0" fontId="9" fillId="43" borderId="168" xfId="49" applyFont="1" applyFill="1" applyBorder="1" applyAlignment="1" applyProtection="1">
      <alignment horizontal="center" vertical="center"/>
      <protection/>
    </xf>
    <xf numFmtId="0" fontId="9" fillId="43" borderId="169" xfId="49" applyFont="1" applyFill="1" applyBorder="1" applyAlignment="1" applyProtection="1">
      <alignment horizontal="center" vertical="center"/>
      <protection/>
    </xf>
    <xf numFmtId="0" fontId="9" fillId="43" borderId="124" xfId="49" applyFont="1" applyFill="1" applyBorder="1" applyAlignment="1" applyProtection="1">
      <alignment horizontal="center" vertical="center"/>
      <protection/>
    </xf>
    <xf numFmtId="198" fontId="4" fillId="44" borderId="0" xfId="0" applyNumberFormat="1" applyFont="1" applyFill="1" applyBorder="1" applyAlignment="1" applyProtection="1">
      <alignment horizontal="right" vertical="center" shrinkToFit="1"/>
      <protection locked="0"/>
    </xf>
    <xf numFmtId="0" fontId="185" fillId="47" borderId="0" xfId="0" applyFont="1" applyFill="1" applyBorder="1" applyAlignment="1" applyProtection="1">
      <alignment horizontal="right" vertical="center" indent="1"/>
      <protection/>
    </xf>
    <xf numFmtId="0" fontId="185" fillId="47" borderId="111" xfId="0" applyFont="1" applyFill="1" applyBorder="1" applyAlignment="1" applyProtection="1">
      <alignment horizontal="right" vertical="center" indent="1"/>
      <protection/>
    </xf>
    <xf numFmtId="2" fontId="13" fillId="48" borderId="0" xfId="0" applyNumberFormat="1" applyFont="1" applyFill="1" applyBorder="1" applyAlignment="1" applyProtection="1">
      <alignment horizontal="left" vertical="center"/>
      <protection/>
    </xf>
    <xf numFmtId="2" fontId="13" fillId="48" borderId="111" xfId="0" applyNumberFormat="1" applyFont="1" applyFill="1" applyBorder="1" applyAlignment="1" applyProtection="1">
      <alignment horizontal="left" vertical="center"/>
      <protection/>
    </xf>
    <xf numFmtId="169" fontId="13" fillId="55" borderId="126" xfId="0" applyNumberFormat="1" applyFont="1" applyFill="1" applyBorder="1" applyAlignment="1" applyProtection="1">
      <alignment horizontal="left" vertical="center"/>
      <protection/>
    </xf>
    <xf numFmtId="169" fontId="13" fillId="55" borderId="127" xfId="0" applyNumberFormat="1" applyFont="1" applyFill="1" applyBorder="1" applyAlignment="1" applyProtection="1">
      <alignment horizontal="left" vertical="center"/>
      <protection/>
    </xf>
    <xf numFmtId="217" fontId="12" fillId="74" borderId="0" xfId="0" applyNumberFormat="1" applyFont="1" applyFill="1" applyBorder="1" applyAlignment="1" applyProtection="1">
      <alignment horizontal="right" vertical="center"/>
      <protection/>
    </xf>
    <xf numFmtId="217" fontId="12" fillId="74" borderId="155" xfId="0" applyNumberFormat="1" applyFont="1" applyFill="1" applyBorder="1" applyAlignment="1" applyProtection="1">
      <alignment horizontal="right" vertical="center"/>
      <protection/>
    </xf>
    <xf numFmtId="197" fontId="4" fillId="44" borderId="0" xfId="0" applyNumberFormat="1" applyFont="1" applyFill="1" applyBorder="1" applyAlignment="1" applyProtection="1">
      <alignment horizontal="right" vertical="center"/>
      <protection locked="0"/>
    </xf>
    <xf numFmtId="189" fontId="13" fillId="55" borderId="126" xfId="0" applyNumberFormat="1" applyFont="1" applyFill="1" applyBorder="1" applyAlignment="1" applyProtection="1">
      <alignment horizontal="center" vertical="center"/>
      <protection/>
    </xf>
    <xf numFmtId="189" fontId="13" fillId="55" borderId="127" xfId="0" applyNumberFormat="1" applyFont="1" applyFill="1" applyBorder="1" applyAlignment="1" applyProtection="1">
      <alignment horizontal="center" vertical="center"/>
      <protection/>
    </xf>
    <xf numFmtId="2" fontId="13" fillId="45" borderId="0" xfId="0" applyNumberFormat="1" applyFont="1" applyFill="1" applyBorder="1" applyAlignment="1" applyProtection="1">
      <alignment horizontal="left" vertical="center" wrapText="1"/>
      <protection/>
    </xf>
    <xf numFmtId="2" fontId="13" fillId="45" borderId="106" xfId="0" applyNumberFormat="1" applyFont="1" applyFill="1" applyBorder="1" applyAlignment="1" applyProtection="1">
      <alignment horizontal="left" vertical="center" wrapText="1"/>
      <protection/>
    </xf>
    <xf numFmtId="0" fontId="184" fillId="46" borderId="0" xfId="0" applyFont="1" applyFill="1" applyAlignment="1" applyProtection="1">
      <alignment horizontal="center" vertical="center"/>
      <protection/>
    </xf>
    <xf numFmtId="218" fontId="13" fillId="41" borderId="189" xfId="0" applyNumberFormat="1" applyFont="1" applyFill="1" applyBorder="1" applyAlignment="1" applyProtection="1">
      <alignment horizontal="center" shrinkToFit="1"/>
      <protection/>
    </xf>
    <xf numFmtId="218" fontId="13" fillId="41" borderId="190" xfId="0" applyNumberFormat="1" applyFont="1" applyFill="1" applyBorder="1" applyAlignment="1" applyProtection="1">
      <alignment horizontal="center" shrinkToFit="1"/>
      <protection/>
    </xf>
    <xf numFmtId="218" fontId="13" fillId="41" borderId="191" xfId="0" applyNumberFormat="1" applyFont="1" applyFill="1" applyBorder="1" applyAlignment="1" applyProtection="1">
      <alignment horizontal="center" shrinkToFit="1"/>
      <protection/>
    </xf>
    <xf numFmtId="218" fontId="13" fillId="41" borderId="192" xfId="0" applyNumberFormat="1" applyFont="1" applyFill="1" applyBorder="1" applyAlignment="1" applyProtection="1">
      <alignment horizontal="center" shrinkToFit="1"/>
      <protection/>
    </xf>
    <xf numFmtId="218" fontId="13" fillId="41" borderId="106" xfId="0" applyNumberFormat="1" applyFont="1" applyFill="1" applyBorder="1" applyAlignment="1" applyProtection="1">
      <alignment horizontal="center" shrinkToFit="1"/>
      <protection/>
    </xf>
    <xf numFmtId="218" fontId="13" fillId="41" borderId="193" xfId="0" applyNumberFormat="1" applyFont="1" applyFill="1" applyBorder="1" applyAlignment="1" applyProtection="1">
      <alignment horizontal="center" shrinkToFit="1"/>
      <protection/>
    </xf>
    <xf numFmtId="0" fontId="4" fillId="54" borderId="0" xfId="0" applyFont="1" applyFill="1" applyBorder="1" applyAlignment="1" applyProtection="1">
      <alignment horizontal="left" vertical="center"/>
      <protection/>
    </xf>
    <xf numFmtId="0" fontId="177" fillId="43" borderId="167" xfId="49" applyFont="1" applyFill="1" applyBorder="1" applyAlignment="1" applyProtection="1">
      <alignment horizontal="center" vertical="center"/>
      <protection/>
    </xf>
    <xf numFmtId="0" fontId="177" fillId="43" borderId="168" xfId="49" applyFont="1" applyFill="1" applyBorder="1" applyAlignment="1" applyProtection="1">
      <alignment horizontal="center" vertical="center"/>
      <protection/>
    </xf>
    <xf numFmtId="0" fontId="177" fillId="43" borderId="169" xfId="49" applyFont="1" applyFill="1" applyBorder="1" applyAlignment="1" applyProtection="1">
      <alignment horizontal="center" vertical="center"/>
      <protection/>
    </xf>
    <xf numFmtId="0" fontId="177" fillId="43" borderId="124" xfId="49" applyFont="1" applyFill="1" applyBorder="1" applyAlignment="1" applyProtection="1">
      <alignment horizontal="center" vertical="center"/>
      <protection/>
    </xf>
    <xf numFmtId="0" fontId="0" fillId="54" borderId="0" xfId="0" applyFont="1" applyFill="1" applyBorder="1" applyAlignment="1" applyProtection="1">
      <alignment horizontal="left" vertical="center"/>
      <protection/>
    </xf>
    <xf numFmtId="2" fontId="61" fillId="45" borderId="189" xfId="0" applyNumberFormat="1" applyFont="1" applyFill="1" applyBorder="1" applyAlignment="1" applyProtection="1" quotePrefix="1">
      <alignment horizontal="left" vertical="center" wrapText="1"/>
      <protection/>
    </xf>
    <xf numFmtId="2" fontId="61" fillId="45" borderId="190" xfId="0" applyNumberFormat="1" applyFont="1" applyFill="1" applyBorder="1" applyAlignment="1" applyProtection="1" quotePrefix="1">
      <alignment horizontal="left" vertical="center" wrapText="1"/>
      <protection/>
    </xf>
    <xf numFmtId="2" fontId="61" fillId="45" borderId="194" xfId="0" applyNumberFormat="1" applyFont="1" applyFill="1" applyBorder="1" applyAlignment="1" applyProtection="1" quotePrefix="1">
      <alignment horizontal="left" vertical="center" wrapText="1"/>
      <protection/>
    </xf>
    <xf numFmtId="2" fontId="61" fillId="45" borderId="0" xfId="0" applyNumberFormat="1" applyFont="1" applyFill="1" applyBorder="1" applyAlignment="1" applyProtection="1" quotePrefix="1">
      <alignment horizontal="left" vertical="center" wrapText="1"/>
      <protection/>
    </xf>
    <xf numFmtId="2" fontId="61" fillId="45" borderId="195" xfId="0" applyNumberFormat="1" applyFont="1" applyFill="1" applyBorder="1" applyAlignment="1" applyProtection="1" quotePrefix="1">
      <alignment horizontal="left" vertical="center" wrapText="1"/>
      <protection/>
    </xf>
    <xf numFmtId="2" fontId="61" fillId="45" borderId="155" xfId="0" applyNumberFormat="1" applyFont="1" applyFill="1" applyBorder="1" applyAlignment="1" applyProtection="1" quotePrefix="1">
      <alignment horizontal="left" vertical="center" wrapText="1"/>
      <protection/>
    </xf>
    <xf numFmtId="218" fontId="60" fillId="45" borderId="190" xfId="0" applyNumberFormat="1" applyFont="1" applyFill="1" applyBorder="1" applyAlignment="1" applyProtection="1">
      <alignment horizontal="right" vertical="center" indent="1" shrinkToFit="1"/>
      <protection/>
    </xf>
    <xf numFmtId="218" fontId="60" fillId="45" borderId="191" xfId="0" applyNumberFormat="1" applyFont="1" applyFill="1" applyBorder="1" applyAlignment="1" applyProtection="1">
      <alignment horizontal="right" vertical="center" indent="1" shrinkToFit="1"/>
      <protection/>
    </xf>
    <xf numFmtId="218" fontId="60" fillId="45" borderId="0" xfId="0" applyNumberFormat="1" applyFont="1" applyFill="1" applyBorder="1" applyAlignment="1" applyProtection="1">
      <alignment horizontal="right" vertical="center" indent="1" shrinkToFit="1"/>
      <protection/>
    </xf>
    <xf numFmtId="218" fontId="60" fillId="45" borderId="196" xfId="0" applyNumberFormat="1" applyFont="1" applyFill="1" applyBorder="1" applyAlignment="1" applyProtection="1">
      <alignment horizontal="right" vertical="center" indent="1" shrinkToFit="1"/>
      <protection/>
    </xf>
    <xf numFmtId="218" fontId="60" fillId="45" borderId="155" xfId="0" applyNumberFormat="1" applyFont="1" applyFill="1" applyBorder="1" applyAlignment="1" applyProtection="1">
      <alignment horizontal="right" vertical="center" indent="1" shrinkToFit="1"/>
      <protection/>
    </xf>
    <xf numFmtId="218" fontId="60" fillId="45" borderId="197" xfId="0" applyNumberFormat="1" applyFont="1" applyFill="1" applyBorder="1" applyAlignment="1" applyProtection="1">
      <alignment horizontal="right" vertical="center" indent="1" shrinkToFit="1"/>
      <protection/>
    </xf>
    <xf numFmtId="2" fontId="0" fillId="54" borderId="0" xfId="0" applyNumberFormat="1" applyFont="1" applyFill="1" applyBorder="1" applyAlignment="1" applyProtection="1">
      <alignment horizontal="left" vertical="center"/>
      <protection/>
    </xf>
    <xf numFmtId="2" fontId="0" fillId="54" borderId="0" xfId="0" applyNumberFormat="1" applyFont="1" applyFill="1" applyBorder="1" applyAlignment="1" applyProtection="1" quotePrefix="1">
      <alignment vertical="center"/>
      <protection/>
    </xf>
    <xf numFmtId="2" fontId="0" fillId="54" borderId="0" xfId="0" applyNumberFormat="1" applyFont="1" applyFill="1" applyBorder="1" applyAlignment="1" applyProtection="1" quotePrefix="1">
      <alignment horizontal="left" vertical="center"/>
      <protection/>
    </xf>
    <xf numFmtId="175" fontId="0" fillId="54" borderId="0" xfId="0" applyNumberFormat="1" applyFont="1" applyFill="1" applyBorder="1" applyAlignment="1" applyProtection="1">
      <alignment horizontal="right" vertical="center"/>
      <protection/>
    </xf>
    <xf numFmtId="231" fontId="5" fillId="41" borderId="190" xfId="0" applyNumberFormat="1" applyFont="1" applyFill="1" applyBorder="1" applyAlignment="1" applyProtection="1">
      <alignment horizontal="center" vertical="center" shrinkToFit="1"/>
      <protection/>
    </xf>
    <xf numFmtId="231" fontId="5" fillId="41" borderId="191" xfId="0" applyNumberFormat="1" applyFont="1" applyFill="1" applyBorder="1" applyAlignment="1" applyProtection="1">
      <alignment horizontal="center" vertical="center" shrinkToFit="1"/>
      <protection/>
    </xf>
    <xf numFmtId="231" fontId="5" fillId="41" borderId="0" xfId="0" applyNumberFormat="1" applyFont="1" applyFill="1" applyBorder="1" applyAlignment="1" applyProtection="1">
      <alignment horizontal="center" vertical="center" shrinkToFit="1"/>
      <protection/>
    </xf>
    <xf numFmtId="231" fontId="5" fillId="41" borderId="196" xfId="0" applyNumberFormat="1" applyFont="1" applyFill="1" applyBorder="1" applyAlignment="1" applyProtection="1">
      <alignment horizontal="center" vertical="center" shrinkToFit="1"/>
      <protection/>
    </xf>
    <xf numFmtId="231" fontId="5" fillId="41" borderId="155" xfId="0" applyNumberFormat="1" applyFont="1" applyFill="1" applyBorder="1" applyAlignment="1" applyProtection="1">
      <alignment horizontal="center" vertical="center" shrinkToFit="1"/>
      <protection/>
    </xf>
    <xf numFmtId="231" fontId="5" fillId="41" borderId="197" xfId="0" applyNumberFormat="1" applyFont="1" applyFill="1" applyBorder="1" applyAlignment="1" applyProtection="1">
      <alignment horizontal="center" vertical="center" shrinkToFit="1"/>
      <protection/>
    </xf>
    <xf numFmtId="2" fontId="0" fillId="41" borderId="189" xfId="0" applyNumberFormat="1" applyFont="1" applyFill="1" applyBorder="1" applyAlignment="1" applyProtection="1" quotePrefix="1">
      <alignment horizontal="left" vertical="center" wrapText="1"/>
      <protection/>
    </xf>
    <xf numFmtId="2" fontId="0" fillId="41" borderId="190" xfId="0" applyNumberFormat="1" applyFont="1" applyFill="1" applyBorder="1" applyAlignment="1" applyProtection="1" quotePrefix="1">
      <alignment horizontal="left" vertical="center" wrapText="1"/>
      <protection/>
    </xf>
    <xf numFmtId="2" fontId="0" fillId="41" borderId="194" xfId="0" applyNumberFormat="1" applyFont="1" applyFill="1" applyBorder="1" applyAlignment="1" applyProtection="1" quotePrefix="1">
      <alignment horizontal="left" vertical="center" wrapText="1"/>
      <protection/>
    </xf>
    <xf numFmtId="2" fontId="0" fillId="41" borderId="0" xfId="0" applyNumberFormat="1" applyFont="1" applyFill="1" applyBorder="1" applyAlignment="1" applyProtection="1" quotePrefix="1">
      <alignment horizontal="left" vertical="center" wrapText="1"/>
      <protection/>
    </xf>
    <xf numFmtId="2" fontId="0" fillId="41" borderId="195" xfId="0" applyNumberFormat="1" applyFont="1" applyFill="1" applyBorder="1" applyAlignment="1" applyProtection="1" quotePrefix="1">
      <alignment horizontal="left" vertical="center" wrapText="1"/>
      <protection/>
    </xf>
    <xf numFmtId="2" fontId="0" fillId="41" borderId="155" xfId="0" applyNumberFormat="1" applyFont="1" applyFill="1" applyBorder="1" applyAlignment="1" applyProtection="1" quotePrefix="1">
      <alignment horizontal="left" vertical="center" wrapText="1"/>
      <protection/>
    </xf>
    <xf numFmtId="225" fontId="4" fillId="41" borderId="0" xfId="0" applyNumberFormat="1" applyFont="1" applyFill="1" applyBorder="1" applyAlignment="1" applyProtection="1">
      <alignment horizontal="left" vertical="center" indent="1"/>
      <protection/>
    </xf>
    <xf numFmtId="229" fontId="11" fillId="41" borderId="194" xfId="0" applyNumberFormat="1" applyFont="1" applyFill="1" applyBorder="1" applyAlignment="1" applyProtection="1">
      <alignment horizontal="right" vertical="center" indent="1" shrinkToFit="1"/>
      <protection/>
    </xf>
    <xf numFmtId="229" fontId="11" fillId="41" borderId="0" xfId="0" applyNumberFormat="1" applyFont="1" applyFill="1" applyBorder="1" applyAlignment="1" applyProtection="1">
      <alignment horizontal="right" vertical="center" indent="1" shrinkToFit="1"/>
      <protection/>
    </xf>
    <xf numFmtId="229" fontId="11" fillId="41" borderId="196" xfId="0" applyNumberFormat="1" applyFont="1" applyFill="1" applyBorder="1" applyAlignment="1" applyProtection="1">
      <alignment horizontal="right" vertical="center" indent="1" shrinkToFit="1"/>
      <protection/>
    </xf>
    <xf numFmtId="230" fontId="11" fillId="41" borderId="192" xfId="0" applyNumberFormat="1" applyFont="1" applyFill="1" applyBorder="1" applyAlignment="1" applyProtection="1">
      <alignment horizontal="right" vertical="center" indent="1" shrinkToFit="1"/>
      <protection/>
    </xf>
    <xf numFmtId="230" fontId="11" fillId="41" borderId="106" xfId="0" applyNumberFormat="1" applyFont="1" applyFill="1" applyBorder="1" applyAlignment="1" applyProtection="1">
      <alignment horizontal="right" vertical="center" indent="1" shrinkToFit="1"/>
      <protection/>
    </xf>
    <xf numFmtId="230" fontId="11" fillId="41" borderId="193" xfId="0" applyNumberFormat="1" applyFont="1" applyFill="1" applyBorder="1" applyAlignment="1" applyProtection="1">
      <alignment horizontal="right" vertical="center" indent="1" shrinkToFit="1"/>
      <protection/>
    </xf>
    <xf numFmtId="0" fontId="4" fillId="54" borderId="0" xfId="0" applyFont="1" applyFill="1" applyBorder="1" applyAlignment="1" applyProtection="1" quotePrefix="1">
      <alignment horizontal="left" vertical="center"/>
      <protection/>
    </xf>
    <xf numFmtId="0" fontId="4" fillId="54" borderId="155" xfId="0" applyFont="1" applyFill="1" applyBorder="1" applyAlignment="1" applyProtection="1" quotePrefix="1">
      <alignment horizontal="left" vertical="center"/>
      <protection/>
    </xf>
    <xf numFmtId="0" fontId="4" fillId="41" borderId="198" xfId="0" applyFont="1" applyFill="1" applyBorder="1" applyAlignment="1" applyProtection="1">
      <alignment horizontal="left" vertical="center" wrapText="1"/>
      <protection/>
    </xf>
    <xf numFmtId="0" fontId="4" fillId="41" borderId="199" xfId="0" applyFont="1" applyFill="1" applyBorder="1" applyAlignment="1" applyProtection="1">
      <alignment horizontal="left" vertical="center" wrapText="1"/>
      <protection/>
    </xf>
    <xf numFmtId="0" fontId="4" fillId="41" borderId="200" xfId="0" applyFont="1" applyFill="1" applyBorder="1" applyAlignment="1" applyProtection="1">
      <alignment horizontal="left" vertical="center" wrapText="1"/>
      <protection/>
    </xf>
    <xf numFmtId="0" fontId="4" fillId="41" borderId="113" xfId="0" applyFont="1" applyFill="1" applyBorder="1" applyAlignment="1" applyProtection="1">
      <alignment horizontal="left" vertical="center" wrapText="1"/>
      <protection/>
    </xf>
    <xf numFmtId="0" fontId="4" fillId="41" borderId="0" xfId="0" applyFont="1" applyFill="1" applyBorder="1" applyAlignment="1" applyProtection="1">
      <alignment horizontal="left" vertical="center" wrapText="1"/>
      <protection/>
    </xf>
    <xf numFmtId="0" fontId="4" fillId="41" borderId="196" xfId="0" applyFont="1" applyFill="1" applyBorder="1" applyAlignment="1" applyProtection="1">
      <alignment horizontal="left" vertical="center" wrapText="1"/>
      <protection/>
    </xf>
    <xf numFmtId="0" fontId="4" fillId="41" borderId="121" xfId="0" applyFont="1" applyFill="1" applyBorder="1" applyAlignment="1" applyProtection="1">
      <alignment horizontal="left" vertical="center" wrapText="1"/>
      <protection/>
    </xf>
    <xf numFmtId="0" fontId="4" fillId="41" borderId="106" xfId="0" applyFont="1" applyFill="1" applyBorder="1" applyAlignment="1" applyProtection="1">
      <alignment horizontal="left" vertical="center" wrapText="1"/>
      <protection/>
    </xf>
    <xf numFmtId="0" fontId="4" fillId="41" borderId="193" xfId="0" applyFont="1" applyFill="1" applyBorder="1" applyAlignment="1" applyProtection="1">
      <alignment horizontal="left" vertical="center" wrapText="1"/>
      <protection/>
    </xf>
    <xf numFmtId="218" fontId="5" fillId="41" borderId="194" xfId="0" applyNumberFormat="1" applyFont="1" applyFill="1" applyBorder="1" applyAlignment="1" applyProtection="1">
      <alignment horizontal="right" vertical="center" indent="1" shrinkToFit="1"/>
      <protection/>
    </xf>
    <xf numFmtId="218" fontId="5" fillId="41" borderId="0" xfId="0" applyNumberFormat="1" applyFont="1" applyFill="1" applyBorder="1" applyAlignment="1" applyProtection="1">
      <alignment horizontal="right" vertical="center" indent="1" shrinkToFit="1"/>
      <protection/>
    </xf>
    <xf numFmtId="218" fontId="5" fillId="41" borderId="196" xfId="0" applyNumberFormat="1" applyFont="1" applyFill="1" applyBorder="1" applyAlignment="1" applyProtection="1">
      <alignment horizontal="right" vertical="center" indent="1" shrinkToFit="1"/>
      <protection/>
    </xf>
    <xf numFmtId="218" fontId="5" fillId="41" borderId="195" xfId="0" applyNumberFormat="1" applyFont="1" applyFill="1" applyBorder="1" applyAlignment="1" applyProtection="1">
      <alignment horizontal="right" vertical="center" indent="1" shrinkToFit="1"/>
      <protection/>
    </xf>
    <xf numFmtId="218" fontId="5" fillId="41" borderId="155" xfId="0" applyNumberFormat="1" applyFont="1" applyFill="1" applyBorder="1" applyAlignment="1" applyProtection="1">
      <alignment horizontal="right" vertical="center" indent="1" shrinkToFit="1"/>
      <protection/>
    </xf>
    <xf numFmtId="218" fontId="5" fillId="41" borderId="197" xfId="0" applyNumberFormat="1" applyFont="1" applyFill="1" applyBorder="1" applyAlignment="1" applyProtection="1">
      <alignment horizontal="right" vertical="center" indent="1" shrinkToFit="1"/>
      <protection/>
    </xf>
    <xf numFmtId="0" fontId="48" fillId="75" borderId="201" xfId="49" applyFont="1" applyFill="1" applyBorder="1" applyAlignment="1" applyProtection="1">
      <alignment horizontal="center" vertical="center" wrapText="1"/>
      <protection/>
    </xf>
    <xf numFmtId="0" fontId="48" fillId="75" borderId="202" xfId="49" applyFont="1" applyFill="1" applyBorder="1" applyAlignment="1" applyProtection="1">
      <alignment horizontal="center" vertical="center" wrapText="1"/>
      <protection/>
    </xf>
    <xf numFmtId="0" fontId="48" fillId="75" borderId="203" xfId="49" applyFont="1" applyFill="1" applyBorder="1" applyAlignment="1" applyProtection="1">
      <alignment horizontal="center" vertical="center" wrapText="1"/>
      <protection/>
    </xf>
    <xf numFmtId="0" fontId="48" fillId="75" borderId="204" xfId="49" applyFont="1" applyFill="1" applyBorder="1" applyAlignment="1" applyProtection="1">
      <alignment horizontal="center" vertical="center" wrapText="1"/>
      <protection/>
    </xf>
    <xf numFmtId="0" fontId="48" fillId="75" borderId="0" xfId="49" applyFont="1" applyFill="1" applyBorder="1" applyAlignment="1" applyProtection="1">
      <alignment horizontal="center" vertical="center" wrapText="1"/>
      <protection/>
    </xf>
    <xf numFmtId="0" fontId="48" fillId="75" borderId="205" xfId="49" applyFont="1" applyFill="1" applyBorder="1" applyAlignment="1" applyProtection="1">
      <alignment horizontal="center" vertical="center" wrapText="1"/>
      <protection/>
    </xf>
    <xf numFmtId="0" fontId="48" fillId="75" borderId="206" xfId="49" applyFont="1" applyFill="1" applyBorder="1" applyAlignment="1" applyProtection="1">
      <alignment horizontal="center" vertical="center" wrapText="1"/>
      <protection/>
    </xf>
    <xf numFmtId="0" fontId="48" fillId="75" borderId="49" xfId="49" applyFont="1" applyFill="1" applyBorder="1" applyAlignment="1" applyProtection="1">
      <alignment horizontal="center" vertical="center" wrapText="1"/>
      <protection/>
    </xf>
    <xf numFmtId="0" fontId="48" fillId="75" borderId="207" xfId="49" applyFont="1" applyFill="1" applyBorder="1" applyAlignment="1" applyProtection="1">
      <alignment horizontal="center" vertical="center" wrapText="1"/>
      <protection/>
    </xf>
    <xf numFmtId="0" fontId="1" fillId="56" borderId="208" xfId="49" applyFill="1" applyBorder="1" applyAlignment="1" applyProtection="1">
      <alignment horizontal="center"/>
      <protection/>
    </xf>
    <xf numFmtId="0" fontId="1" fillId="56" borderId="209" xfId="49" applyFill="1" applyBorder="1" applyAlignment="1" applyProtection="1">
      <alignment horizontal="center"/>
      <protection/>
    </xf>
    <xf numFmtId="0" fontId="1" fillId="56" borderId="210" xfId="49" applyFill="1" applyBorder="1" applyAlignment="1" applyProtection="1">
      <alignment horizontal="center"/>
      <protection/>
    </xf>
    <xf numFmtId="0" fontId="0" fillId="0" borderId="0" xfId="0" applyAlignment="1" applyProtection="1">
      <alignment/>
      <protection/>
    </xf>
    <xf numFmtId="0" fontId="150" fillId="48" borderId="211" xfId="0" applyFont="1" applyFill="1" applyBorder="1" applyAlignment="1" applyProtection="1">
      <alignment horizontal="center" vertical="center" textRotation="90"/>
      <protection/>
    </xf>
    <xf numFmtId="0" fontId="150" fillId="48" borderId="86" xfId="0" applyFont="1" applyFill="1" applyBorder="1" applyAlignment="1" applyProtection="1">
      <alignment horizontal="center" vertical="center" textRotation="90"/>
      <protection/>
    </xf>
    <xf numFmtId="0" fontId="150" fillId="48" borderId="212" xfId="0" applyFont="1" applyFill="1" applyBorder="1" applyAlignment="1" applyProtection="1">
      <alignment horizontal="center" vertical="center" textRotation="90"/>
      <protection/>
    </xf>
    <xf numFmtId="0" fontId="1" fillId="76" borderId="80" xfId="49" applyFill="1" applyBorder="1" applyAlignment="1" applyProtection="1">
      <alignment horizontal="center" vertical="center"/>
      <protection/>
    </xf>
    <xf numFmtId="0" fontId="1" fillId="76" borderId="81" xfId="49" applyFill="1" applyBorder="1" applyAlignment="1" applyProtection="1">
      <alignment horizontal="center" vertical="center"/>
      <protection/>
    </xf>
    <xf numFmtId="0" fontId="1" fillId="76" borderId="82" xfId="49" applyFill="1" applyBorder="1" applyAlignment="1" applyProtection="1">
      <alignment horizontal="center" vertical="center"/>
      <protection/>
    </xf>
    <xf numFmtId="217" fontId="5" fillId="74" borderId="0" xfId="0" applyNumberFormat="1" applyFont="1" applyFill="1" applyBorder="1" applyAlignment="1" applyProtection="1">
      <alignment horizontal="right" vertical="center"/>
      <protection/>
    </xf>
    <xf numFmtId="2" fontId="5" fillId="54" borderId="0" xfId="0" applyNumberFormat="1" applyFont="1" applyFill="1" applyBorder="1" applyAlignment="1" applyProtection="1">
      <alignment horizontal="left" vertical="center"/>
      <protection/>
    </xf>
    <xf numFmtId="171" fontId="9" fillId="45" borderId="0" xfId="0" applyNumberFormat="1" applyFont="1" applyFill="1" applyBorder="1" applyAlignment="1" applyProtection="1">
      <alignment horizontal="left" vertical="center"/>
      <protection/>
    </xf>
    <xf numFmtId="221" fontId="0" fillId="45" borderId="0" xfId="0" applyNumberFormat="1" applyFont="1" applyFill="1" applyBorder="1" applyAlignment="1" applyProtection="1">
      <alignment horizontal="center" vertical="center" shrinkToFit="1"/>
      <protection/>
    </xf>
    <xf numFmtId="0" fontId="3" fillId="41" borderId="0" xfId="48" applyFont="1" applyFill="1" applyBorder="1" applyAlignment="1" applyProtection="1">
      <alignment horizontal="right" vertical="center" wrapText="1" indent="1"/>
      <protection/>
    </xf>
    <xf numFmtId="0" fontId="3" fillId="41" borderId="106" xfId="48" applyFont="1" applyFill="1" applyBorder="1" applyAlignment="1" applyProtection="1">
      <alignment horizontal="right" vertical="center" wrapText="1" indent="1"/>
      <protection/>
    </xf>
    <xf numFmtId="0" fontId="0" fillId="47" borderId="0" xfId="0" applyFont="1" applyFill="1" applyBorder="1" applyAlignment="1" applyProtection="1">
      <alignment horizontal="center" vertical="center"/>
      <protection/>
    </xf>
    <xf numFmtId="166" fontId="9" fillId="45" borderId="0" xfId="0" applyNumberFormat="1" applyFont="1" applyFill="1" applyBorder="1" applyAlignment="1" applyProtection="1">
      <alignment horizontal="right" vertical="center" shrinkToFit="1"/>
      <protection/>
    </xf>
    <xf numFmtId="2" fontId="11" fillId="54" borderId="151" xfId="0" applyNumberFormat="1" applyFont="1" applyFill="1" applyBorder="1" applyAlignment="1" applyProtection="1">
      <alignment horizontal="left" vertical="center"/>
      <protection/>
    </xf>
    <xf numFmtId="2" fontId="11" fillId="54" borderId="148" xfId="0" applyNumberFormat="1" applyFont="1" applyFill="1" applyBorder="1" applyAlignment="1" applyProtection="1">
      <alignment horizontal="left" vertical="center"/>
      <protection/>
    </xf>
    <xf numFmtId="2" fontId="11" fillId="54" borderId="128" xfId="0" applyNumberFormat="1" applyFont="1" applyFill="1" applyBorder="1" applyAlignment="1" applyProtection="1">
      <alignment horizontal="left" vertical="center"/>
      <protection/>
    </xf>
    <xf numFmtId="2" fontId="11" fillId="54" borderId="0" xfId="0" applyNumberFormat="1" applyFont="1" applyFill="1" applyBorder="1" applyAlignment="1" applyProtection="1">
      <alignment horizontal="left" vertical="center"/>
      <protection/>
    </xf>
    <xf numFmtId="2" fontId="11" fillId="54" borderId="213" xfId="0" applyNumberFormat="1" applyFont="1" applyFill="1" applyBorder="1" applyAlignment="1" applyProtection="1">
      <alignment horizontal="left" vertical="center"/>
      <protection/>
    </xf>
    <xf numFmtId="2" fontId="11" fillId="54" borderId="106" xfId="0" applyNumberFormat="1" applyFont="1" applyFill="1" applyBorder="1" applyAlignment="1" applyProtection="1">
      <alignment horizontal="left" vertical="center"/>
      <protection/>
    </xf>
    <xf numFmtId="0" fontId="0" fillId="54" borderId="0" xfId="0" applyFont="1" applyFill="1" applyBorder="1" applyAlignment="1" applyProtection="1">
      <alignment horizontal="center" vertical="center" shrinkToFit="1"/>
      <protection/>
    </xf>
    <xf numFmtId="0" fontId="0" fillId="54" borderId="106" xfId="0" applyFont="1" applyFill="1" applyBorder="1" applyAlignment="1" applyProtection="1">
      <alignment horizontal="center" vertical="center" shrinkToFit="1"/>
      <protection/>
    </xf>
    <xf numFmtId="0" fontId="0" fillId="49" borderId="0" xfId="48" applyFont="1" applyFill="1" applyBorder="1" applyAlignment="1" applyProtection="1">
      <alignment horizontal="center" vertical="center"/>
      <protection/>
    </xf>
    <xf numFmtId="0" fontId="0" fillId="49" borderId="106" xfId="48" applyFont="1" applyFill="1" applyBorder="1" applyAlignment="1" applyProtection="1">
      <alignment horizontal="center" vertical="center"/>
      <protection/>
    </xf>
    <xf numFmtId="176" fontId="9" fillId="54" borderId="109" xfId="0" applyNumberFormat="1" applyFont="1" applyFill="1" applyBorder="1" applyAlignment="1" applyProtection="1">
      <alignment horizontal="right" vertical="center" shrinkToFit="1"/>
      <protection/>
    </xf>
    <xf numFmtId="176" fontId="9" fillId="54" borderId="214" xfId="0" applyNumberFormat="1" applyFont="1" applyFill="1" applyBorder="1" applyAlignment="1" applyProtection="1">
      <alignment horizontal="right" vertical="center" shrinkToFit="1"/>
      <protection/>
    </xf>
    <xf numFmtId="176" fontId="9" fillId="54" borderId="0" xfId="0" applyNumberFormat="1" applyFont="1" applyFill="1" applyBorder="1" applyAlignment="1" applyProtection="1">
      <alignment horizontal="right" vertical="center" shrinkToFit="1"/>
      <protection/>
    </xf>
    <xf numFmtId="176" fontId="9" fillId="54" borderId="129" xfId="0" applyNumberFormat="1" applyFont="1" applyFill="1" applyBorder="1" applyAlignment="1" applyProtection="1">
      <alignment horizontal="right" vertical="center" shrinkToFit="1"/>
      <protection/>
    </xf>
    <xf numFmtId="176" fontId="9" fillId="54" borderId="150" xfId="0" applyNumberFormat="1" applyFont="1" applyFill="1" applyBorder="1" applyAlignment="1" applyProtection="1">
      <alignment horizontal="right" vertical="center" shrinkToFit="1"/>
      <protection/>
    </xf>
    <xf numFmtId="176" fontId="9" fillId="54" borderId="153" xfId="0" applyNumberFormat="1" applyFont="1" applyFill="1" applyBorder="1" applyAlignment="1" applyProtection="1">
      <alignment horizontal="right" vertical="center" shrinkToFit="1"/>
      <protection/>
    </xf>
    <xf numFmtId="0" fontId="0" fillId="41" borderId="128" xfId="0" applyFont="1" applyFill="1" applyBorder="1" applyAlignment="1" applyProtection="1">
      <alignment horizontal="center" vertical="center"/>
      <protection/>
    </xf>
    <xf numFmtId="0" fontId="0" fillId="41" borderId="129" xfId="0" applyFont="1" applyFill="1" applyBorder="1" applyAlignment="1" applyProtection="1">
      <alignment horizontal="center" vertical="center"/>
      <protection/>
    </xf>
    <xf numFmtId="0" fontId="5" fillId="65" borderId="0" xfId="0" applyFont="1" applyFill="1" applyBorder="1" applyAlignment="1" applyProtection="1">
      <alignment horizontal="left" vertical="center"/>
      <protection/>
    </xf>
    <xf numFmtId="0" fontId="5" fillId="41" borderId="128" xfId="0" applyFont="1" applyFill="1" applyBorder="1" applyAlignment="1" applyProtection="1">
      <alignment horizontal="right" vertical="center"/>
      <protection/>
    </xf>
    <xf numFmtId="3" fontId="5" fillId="41" borderId="0" xfId="0" applyNumberFormat="1" applyFont="1" applyFill="1" applyBorder="1" applyAlignment="1" applyProtection="1">
      <alignment horizontal="left" vertical="center"/>
      <protection/>
    </xf>
    <xf numFmtId="3" fontId="5" fillId="41" borderId="129" xfId="0" applyNumberFormat="1" applyFont="1" applyFill="1" applyBorder="1" applyAlignment="1" applyProtection="1">
      <alignment horizontal="left" vertical="center"/>
      <protection/>
    </xf>
    <xf numFmtId="2" fontId="9" fillId="54" borderId="215" xfId="0" applyNumberFormat="1" applyFont="1" applyFill="1" applyBorder="1" applyAlignment="1" applyProtection="1">
      <alignment horizontal="left" vertical="center"/>
      <protection/>
    </xf>
    <xf numFmtId="2" fontId="9" fillId="54" borderId="109" xfId="0" applyNumberFormat="1" applyFont="1" applyFill="1" applyBorder="1" applyAlignment="1" applyProtection="1">
      <alignment horizontal="left" vertical="center"/>
      <protection/>
    </xf>
    <xf numFmtId="2" fontId="9" fillId="54" borderId="128" xfId="0" applyNumberFormat="1" applyFont="1" applyFill="1" applyBorder="1" applyAlignment="1" applyProtection="1">
      <alignment horizontal="left" vertical="center"/>
      <protection/>
    </xf>
    <xf numFmtId="218" fontId="60" fillId="41" borderId="151" xfId="0" applyNumberFormat="1" applyFont="1" applyFill="1" applyBorder="1" applyAlignment="1" applyProtection="1">
      <alignment horizontal="right" vertical="center" shrinkToFit="1"/>
      <protection/>
    </xf>
    <xf numFmtId="218" fontId="60" fillId="41" borderId="148" xfId="0" applyNumberFormat="1" applyFont="1" applyFill="1" applyBorder="1" applyAlignment="1" applyProtection="1">
      <alignment horizontal="right" vertical="center" shrinkToFit="1"/>
      <protection/>
    </xf>
    <xf numFmtId="218" fontId="60" fillId="41" borderId="152" xfId="0" applyNumberFormat="1" applyFont="1" applyFill="1" applyBorder="1" applyAlignment="1" applyProtection="1">
      <alignment horizontal="right" vertical="center" shrinkToFit="1"/>
      <protection/>
    </xf>
    <xf numFmtId="218" fontId="60" fillId="41" borderId="128" xfId="0" applyNumberFormat="1" applyFont="1" applyFill="1" applyBorder="1" applyAlignment="1" applyProtection="1">
      <alignment horizontal="right" vertical="center" shrinkToFit="1"/>
      <protection/>
    </xf>
    <xf numFmtId="218" fontId="60" fillId="41" borderId="0" xfId="0" applyNumberFormat="1" applyFont="1" applyFill="1" applyBorder="1" applyAlignment="1" applyProtection="1">
      <alignment horizontal="right" vertical="center" shrinkToFit="1"/>
      <protection/>
    </xf>
    <xf numFmtId="218" fontId="60" fillId="41" borderId="129" xfId="0" applyNumberFormat="1" applyFont="1" applyFill="1" applyBorder="1" applyAlignment="1" applyProtection="1">
      <alignment horizontal="right" vertical="center" shrinkToFit="1"/>
      <protection/>
    </xf>
    <xf numFmtId="218" fontId="60" fillId="41" borderId="149" xfId="0" applyNumberFormat="1" applyFont="1" applyFill="1" applyBorder="1" applyAlignment="1" applyProtection="1">
      <alignment horizontal="right" vertical="center" shrinkToFit="1"/>
      <protection/>
    </xf>
    <xf numFmtId="218" fontId="60" fillId="41" borderId="150" xfId="0" applyNumberFormat="1" applyFont="1" applyFill="1" applyBorder="1" applyAlignment="1" applyProtection="1">
      <alignment horizontal="right" vertical="center" shrinkToFit="1"/>
      <protection/>
    </xf>
    <xf numFmtId="218" fontId="60" fillId="41" borderId="153" xfId="0" applyNumberFormat="1" applyFont="1" applyFill="1" applyBorder="1" applyAlignment="1" applyProtection="1">
      <alignment horizontal="right" vertical="center" shrinkToFit="1"/>
      <protection/>
    </xf>
    <xf numFmtId="0" fontId="0" fillId="41" borderId="151" xfId="0" applyFont="1" applyFill="1" applyBorder="1" applyAlignment="1" applyProtection="1">
      <alignment horizontal="left" vertical="center" wrapText="1" indent="1" shrinkToFit="1"/>
      <protection/>
    </xf>
    <xf numFmtId="0" fontId="0" fillId="41" borderId="148" xfId="0" applyFont="1" applyFill="1" applyBorder="1" applyAlignment="1" applyProtection="1">
      <alignment horizontal="left" vertical="center" wrapText="1" indent="1" shrinkToFit="1"/>
      <protection/>
    </xf>
    <xf numFmtId="0" fontId="0" fillId="41" borderId="152" xfId="0" applyFont="1" applyFill="1" applyBorder="1" applyAlignment="1" applyProtection="1">
      <alignment horizontal="left" vertical="center" wrapText="1" indent="1" shrinkToFit="1"/>
      <protection/>
    </xf>
    <xf numFmtId="0" fontId="0" fillId="41" borderId="128" xfId="0" applyFont="1" applyFill="1" applyBorder="1" applyAlignment="1" applyProtection="1">
      <alignment horizontal="left" vertical="center" wrapText="1" indent="1" shrinkToFit="1"/>
      <protection/>
    </xf>
    <xf numFmtId="0" fontId="0" fillId="41" borderId="0" xfId="0" applyFont="1" applyFill="1" applyBorder="1" applyAlignment="1" applyProtection="1">
      <alignment horizontal="left" vertical="center" wrapText="1" indent="1" shrinkToFit="1"/>
      <protection/>
    </xf>
    <xf numFmtId="0" fontId="0" fillId="41" borderId="129" xfId="0" applyFont="1" applyFill="1" applyBorder="1" applyAlignment="1" applyProtection="1">
      <alignment horizontal="left" vertical="center" wrapText="1" indent="1" shrinkToFit="1"/>
      <protection/>
    </xf>
    <xf numFmtId="0" fontId="0" fillId="41" borderId="149" xfId="0" applyFont="1" applyFill="1" applyBorder="1" applyAlignment="1" applyProtection="1">
      <alignment horizontal="left" vertical="center" wrapText="1" indent="1" shrinkToFit="1"/>
      <protection/>
    </xf>
    <xf numFmtId="0" fontId="0" fillId="41" borderId="150" xfId="0" applyFont="1" applyFill="1" applyBorder="1" applyAlignment="1" applyProtection="1">
      <alignment horizontal="left" vertical="center" wrapText="1" indent="1" shrinkToFit="1"/>
      <protection/>
    </xf>
    <xf numFmtId="0" fontId="0" fillId="41" borderId="153" xfId="0" applyFont="1" applyFill="1" applyBorder="1" applyAlignment="1" applyProtection="1">
      <alignment horizontal="left" vertical="center" wrapText="1" indent="1" shrinkToFit="1"/>
      <protection/>
    </xf>
    <xf numFmtId="217" fontId="5" fillId="74" borderId="106" xfId="0" applyNumberFormat="1" applyFont="1" applyFill="1" applyBorder="1" applyAlignment="1" applyProtection="1">
      <alignment horizontal="right" vertical="center"/>
      <protection/>
    </xf>
    <xf numFmtId="218" fontId="5" fillId="41" borderId="128" xfId="0" applyNumberFormat="1" applyFont="1" applyFill="1" applyBorder="1" applyAlignment="1" applyProtection="1">
      <alignment horizontal="right" vertical="center" shrinkToFit="1"/>
      <protection/>
    </xf>
    <xf numFmtId="218" fontId="5" fillId="41" borderId="0" xfId="0" applyNumberFormat="1" applyFont="1" applyFill="1" applyBorder="1" applyAlignment="1" applyProtection="1">
      <alignment horizontal="right" vertical="center" shrinkToFit="1"/>
      <protection/>
    </xf>
    <xf numFmtId="218" fontId="5" fillId="41" borderId="129" xfId="0" applyNumberFormat="1" applyFont="1" applyFill="1" applyBorder="1" applyAlignment="1" applyProtection="1">
      <alignment horizontal="right" vertical="center" shrinkToFit="1"/>
      <protection/>
    </xf>
    <xf numFmtId="218" fontId="5" fillId="41" borderId="149" xfId="0" applyNumberFormat="1" applyFont="1" applyFill="1" applyBorder="1" applyAlignment="1" applyProtection="1">
      <alignment horizontal="right" vertical="center" shrinkToFit="1"/>
      <protection/>
    </xf>
    <xf numFmtId="218" fontId="5" fillId="41" borderId="150" xfId="0" applyNumberFormat="1" applyFont="1" applyFill="1" applyBorder="1" applyAlignment="1" applyProtection="1">
      <alignment horizontal="right" vertical="center" shrinkToFit="1"/>
      <protection/>
    </xf>
    <xf numFmtId="218" fontId="5" fillId="41" borderId="153" xfId="0" applyNumberFormat="1" applyFont="1" applyFill="1" applyBorder="1" applyAlignment="1" applyProtection="1">
      <alignment horizontal="right" vertical="center" shrinkToFit="1"/>
      <protection/>
    </xf>
    <xf numFmtId="0" fontId="61" fillId="41" borderId="151" xfId="0" applyFont="1" applyFill="1" applyBorder="1" applyAlignment="1" applyProtection="1">
      <alignment horizontal="left" vertical="center" wrapText="1" indent="1"/>
      <protection/>
    </xf>
    <xf numFmtId="0" fontId="61" fillId="41" borderId="148" xfId="0" applyFont="1" applyFill="1" applyBorder="1" applyAlignment="1" applyProtection="1">
      <alignment horizontal="left" vertical="center" wrapText="1" indent="1"/>
      <protection/>
    </xf>
    <xf numFmtId="0" fontId="61" fillId="41" borderId="152" xfId="0" applyFont="1" applyFill="1" applyBorder="1" applyAlignment="1" applyProtection="1">
      <alignment horizontal="left" vertical="center" wrapText="1" indent="1"/>
      <protection/>
    </xf>
    <xf numFmtId="0" fontId="61" fillId="41" borderId="128" xfId="0" applyFont="1" applyFill="1" applyBorder="1" applyAlignment="1" applyProtection="1">
      <alignment horizontal="left" vertical="center" wrapText="1" indent="1"/>
      <protection/>
    </xf>
    <xf numFmtId="0" fontId="61" fillId="41" borderId="0" xfId="0" applyFont="1" applyFill="1" applyBorder="1" applyAlignment="1" applyProtection="1">
      <alignment horizontal="left" vertical="center" wrapText="1" indent="1"/>
      <protection/>
    </xf>
    <xf numFmtId="0" fontId="61" fillId="41" borderId="129" xfId="0" applyFont="1" applyFill="1" applyBorder="1" applyAlignment="1" applyProtection="1">
      <alignment horizontal="left" vertical="center" wrapText="1" indent="1"/>
      <protection/>
    </xf>
    <xf numFmtId="0" fontId="61" fillId="41" borderId="149" xfId="0" applyFont="1" applyFill="1" applyBorder="1" applyAlignment="1" applyProtection="1">
      <alignment horizontal="left" vertical="center" wrapText="1" indent="1"/>
      <protection/>
    </xf>
    <xf numFmtId="0" fontId="61" fillId="41" borderId="150" xfId="0" applyFont="1" applyFill="1" applyBorder="1" applyAlignment="1" applyProtection="1">
      <alignment horizontal="left" vertical="center" wrapText="1" indent="1"/>
      <protection/>
    </xf>
    <xf numFmtId="0" fontId="61" fillId="41" borderId="153" xfId="0" applyFont="1" applyFill="1" applyBorder="1" applyAlignment="1" applyProtection="1">
      <alignment horizontal="left" vertical="center" wrapText="1" indent="1"/>
      <protection/>
    </xf>
    <xf numFmtId="2" fontId="5" fillId="54" borderId="0" xfId="0" applyNumberFormat="1" applyFont="1" applyFill="1" applyBorder="1" applyAlignment="1" applyProtection="1" quotePrefix="1">
      <alignment horizontal="left" vertical="center"/>
      <protection/>
    </xf>
    <xf numFmtId="2" fontId="5" fillId="54" borderId="106" xfId="0" applyNumberFormat="1" applyFont="1" applyFill="1" applyBorder="1" applyAlignment="1" applyProtection="1">
      <alignment horizontal="left" vertical="center"/>
      <protection/>
    </xf>
    <xf numFmtId="2" fontId="9" fillId="45" borderId="0" xfId="0" applyNumberFormat="1" applyFont="1" applyFill="1" applyBorder="1" applyAlignment="1" applyProtection="1">
      <alignment horizontal="left" vertical="center"/>
      <protection/>
    </xf>
    <xf numFmtId="2" fontId="9" fillId="71" borderId="0" xfId="0" applyNumberFormat="1" applyFont="1" applyFill="1" applyBorder="1" applyAlignment="1" applyProtection="1" quotePrefix="1">
      <alignment horizontal="center" vertical="center"/>
      <protection/>
    </xf>
    <xf numFmtId="176" fontId="11" fillId="54" borderId="148" xfId="0" applyNumberFormat="1" applyFont="1" applyFill="1" applyBorder="1" applyAlignment="1" applyProtection="1">
      <alignment horizontal="right" vertical="center" shrinkToFit="1"/>
      <protection/>
    </xf>
    <xf numFmtId="176" fontId="11" fillId="54" borderId="152" xfId="0" applyNumberFormat="1" applyFont="1" applyFill="1" applyBorder="1" applyAlignment="1" applyProtection="1">
      <alignment horizontal="right" vertical="center" shrinkToFit="1"/>
      <protection/>
    </xf>
    <xf numFmtId="176" fontId="11" fillId="54" borderId="0" xfId="0" applyNumberFormat="1" applyFont="1" applyFill="1" applyBorder="1" applyAlignment="1" applyProtection="1">
      <alignment horizontal="right" vertical="center" shrinkToFit="1"/>
      <protection/>
    </xf>
    <xf numFmtId="176" fontId="11" fillId="54" borderId="129" xfId="0" applyNumberFormat="1" applyFont="1" applyFill="1" applyBorder="1" applyAlignment="1" applyProtection="1">
      <alignment horizontal="right" vertical="center" shrinkToFit="1"/>
      <protection/>
    </xf>
    <xf numFmtId="176" fontId="11" fillId="54" borderId="106" xfId="0" applyNumberFormat="1" applyFont="1" applyFill="1" applyBorder="1" applyAlignment="1" applyProtection="1">
      <alignment horizontal="right" vertical="center" shrinkToFit="1"/>
      <protection/>
    </xf>
    <xf numFmtId="176" fontId="11" fillId="54" borderId="216" xfId="0" applyNumberFormat="1" applyFont="1" applyFill="1" applyBorder="1" applyAlignment="1" applyProtection="1">
      <alignment horizontal="right" vertical="center" shrinkToFit="1"/>
      <protection/>
    </xf>
    <xf numFmtId="0" fontId="0" fillId="41" borderId="151" xfId="0" applyFont="1" applyFill="1" applyBorder="1" applyAlignment="1" applyProtection="1">
      <alignment horizontal="center" vertical="center" shrinkToFit="1"/>
      <protection/>
    </xf>
    <xf numFmtId="0" fontId="0" fillId="41" borderId="148" xfId="0" applyFont="1" applyFill="1" applyBorder="1" applyAlignment="1" applyProtection="1">
      <alignment horizontal="center" vertical="center" shrinkToFit="1"/>
      <protection/>
    </xf>
    <xf numFmtId="0" fontId="0" fillId="41" borderId="152" xfId="0" applyFont="1" applyFill="1" applyBorder="1" applyAlignment="1" applyProtection="1">
      <alignment horizontal="center" vertical="center" shrinkToFit="1"/>
      <protection/>
    </xf>
    <xf numFmtId="0" fontId="0" fillId="41" borderId="128" xfId="0" applyFont="1" applyFill="1" applyBorder="1" applyAlignment="1" applyProtection="1">
      <alignment horizontal="center" vertical="center" shrinkToFit="1"/>
      <protection/>
    </xf>
    <xf numFmtId="0" fontId="0" fillId="41" borderId="0" xfId="0" applyFont="1" applyFill="1" applyBorder="1" applyAlignment="1" applyProtection="1">
      <alignment horizontal="center" vertical="center" shrinkToFit="1"/>
      <protection/>
    </xf>
    <xf numFmtId="0" fontId="0" fillId="41" borderId="129" xfId="0" applyFont="1" applyFill="1" applyBorder="1" applyAlignment="1" applyProtection="1">
      <alignment horizontal="center" vertical="center"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2" fontId="38" fillId="45" borderId="0" xfId="0" applyNumberFormat="1" applyFont="1" applyFill="1" applyBorder="1" applyAlignment="1" applyProtection="1">
      <alignment horizontal="left" vertical="center"/>
      <protection/>
    </xf>
    <xf numFmtId="2" fontId="42" fillId="45" borderId="0" xfId="0" applyNumberFormat="1" applyFont="1" applyFill="1" applyBorder="1" applyAlignment="1" applyProtection="1">
      <alignment horizontal="left" vertical="center"/>
      <protection/>
    </xf>
    <xf numFmtId="204" fontId="13" fillId="45" borderId="0" xfId="0" applyNumberFormat="1" applyFont="1" applyFill="1" applyBorder="1" applyAlignment="1" applyProtection="1">
      <alignment horizontal="right" vertical="center" shrinkToFit="1"/>
      <protection/>
    </xf>
    <xf numFmtId="204" fontId="5" fillId="47" borderId="0" xfId="0" applyNumberFormat="1" applyFont="1" applyFill="1" applyBorder="1" applyAlignment="1" applyProtection="1">
      <alignment horizontal="right" vertical="center" indent="1" shrinkToFit="1"/>
      <protection/>
    </xf>
    <xf numFmtId="204" fontId="5" fillId="47" borderId="111" xfId="0" applyNumberFormat="1" applyFont="1" applyFill="1" applyBorder="1" applyAlignment="1" applyProtection="1">
      <alignment horizontal="right" vertical="center" indent="1" shrinkToFit="1"/>
      <protection/>
    </xf>
    <xf numFmtId="223" fontId="13" fillId="45" borderId="0" xfId="0" applyNumberFormat="1" applyFont="1" applyFill="1" applyBorder="1" applyAlignment="1" applyProtection="1">
      <alignment horizontal="center" vertical="center" shrinkToFit="1"/>
      <protection/>
    </xf>
    <xf numFmtId="182" fontId="13" fillId="45" borderId="0" xfId="0" applyNumberFormat="1" applyFont="1" applyFill="1" applyBorder="1" applyAlignment="1" applyProtection="1">
      <alignment horizontal="left" vertical="center" shrinkToFit="1"/>
      <protection/>
    </xf>
    <xf numFmtId="168" fontId="11" fillId="45" borderId="0" xfId="0" applyNumberFormat="1" applyFont="1" applyFill="1" applyBorder="1" applyAlignment="1" applyProtection="1">
      <alignment horizontal="right" vertical="center" indent="1" shrinkToFit="1"/>
      <protection/>
    </xf>
    <xf numFmtId="168" fontId="11" fillId="45" borderId="111" xfId="0" applyNumberFormat="1" applyFont="1" applyFill="1" applyBorder="1" applyAlignment="1" applyProtection="1">
      <alignment horizontal="right" vertical="center" indent="1" shrinkToFit="1"/>
      <protection/>
    </xf>
    <xf numFmtId="184" fontId="13" fillId="45" borderId="0" xfId="0" applyNumberFormat="1" applyFont="1" applyFill="1" applyBorder="1" applyAlignment="1" applyProtection="1">
      <alignment horizontal="left" vertical="center" shrinkToFit="1"/>
      <protection/>
    </xf>
    <xf numFmtId="176" fontId="13" fillId="45" borderId="0" xfId="0" applyNumberFormat="1" applyFont="1" applyFill="1" applyBorder="1" applyAlignment="1" applyProtection="1">
      <alignment horizontal="right" vertical="center" shrinkToFit="1"/>
      <protection/>
    </xf>
    <xf numFmtId="204" fontId="3" fillId="45" borderId="0" xfId="0" applyNumberFormat="1" applyFont="1" applyFill="1" applyBorder="1" applyAlignment="1" applyProtection="1">
      <alignment horizontal="right" vertical="center" indent="1"/>
      <protection/>
    </xf>
    <xf numFmtId="168" fontId="13" fillId="41" borderId="0" xfId="0" applyNumberFormat="1" applyFont="1" applyFill="1" applyBorder="1" applyAlignment="1" applyProtection="1">
      <alignment horizontal="right" vertical="center" indent="1" shrinkToFit="1"/>
      <protection/>
    </xf>
    <xf numFmtId="170" fontId="5" fillId="47" borderId="0" xfId="0" applyNumberFormat="1" applyFont="1" applyFill="1" applyBorder="1" applyAlignment="1" applyProtection="1">
      <alignment horizontal="right" vertical="center" indent="1" shrinkToFit="1"/>
      <protection/>
    </xf>
    <xf numFmtId="170" fontId="5" fillId="47" borderId="111" xfId="0" applyNumberFormat="1" applyFont="1" applyFill="1" applyBorder="1" applyAlignment="1" applyProtection="1">
      <alignment horizontal="right" vertical="center" indent="1" shrinkToFit="1"/>
      <protection/>
    </xf>
    <xf numFmtId="171" fontId="9" fillId="45" borderId="0" xfId="0" applyNumberFormat="1" applyFont="1" applyFill="1" applyBorder="1" applyAlignment="1" applyProtection="1">
      <alignment horizontal="right" vertical="center" indent="1" shrinkToFit="1"/>
      <protection/>
    </xf>
    <xf numFmtId="171" fontId="9" fillId="45" borderId="111" xfId="0" applyNumberFormat="1" applyFont="1" applyFill="1" applyBorder="1" applyAlignment="1" applyProtection="1">
      <alignment horizontal="right" vertical="center" indent="1" shrinkToFit="1"/>
      <protection/>
    </xf>
    <xf numFmtId="168" fontId="9" fillId="45" borderId="0" xfId="0" applyNumberFormat="1" applyFont="1" applyFill="1" applyBorder="1" applyAlignment="1" applyProtection="1">
      <alignment horizontal="right" vertical="center" indent="1" shrinkToFit="1"/>
      <protection/>
    </xf>
    <xf numFmtId="168" fontId="9" fillId="45" borderId="111" xfId="0" applyNumberFormat="1" applyFont="1" applyFill="1" applyBorder="1" applyAlignment="1" applyProtection="1">
      <alignment horizontal="right" vertical="center" indent="1" shrinkToFit="1"/>
      <protection/>
    </xf>
    <xf numFmtId="168" fontId="43" fillId="45" borderId="0" xfId="0" applyNumberFormat="1" applyFont="1" applyFill="1" applyBorder="1" applyAlignment="1" applyProtection="1">
      <alignment horizontal="center" vertical="center" textRotation="90" shrinkToFit="1"/>
      <protection/>
    </xf>
    <xf numFmtId="204" fontId="13" fillId="45" borderId="0" xfId="0" applyNumberFormat="1" applyFont="1" applyFill="1" applyBorder="1" applyAlignment="1" applyProtection="1">
      <alignment horizontal="center" vertical="center" shrinkToFit="1"/>
      <protection/>
    </xf>
    <xf numFmtId="168" fontId="13" fillId="45" borderId="0" xfId="0" applyNumberFormat="1" applyFont="1" applyFill="1" applyBorder="1" applyAlignment="1" applyProtection="1">
      <alignment horizontal="center" vertical="center"/>
      <protection/>
    </xf>
    <xf numFmtId="219" fontId="5" fillId="47" borderId="0" xfId="0" applyNumberFormat="1" applyFont="1" applyFill="1" applyBorder="1" applyAlignment="1" applyProtection="1">
      <alignment horizontal="right" vertical="center" indent="1" shrinkToFit="1"/>
      <protection/>
    </xf>
    <xf numFmtId="219" fontId="5" fillId="47" borderId="111" xfId="0" applyNumberFormat="1" applyFont="1" applyFill="1" applyBorder="1" applyAlignment="1" applyProtection="1">
      <alignment horizontal="right" vertical="center" indent="1" shrinkToFit="1"/>
      <protection/>
    </xf>
    <xf numFmtId="220" fontId="9" fillId="45" borderId="0" xfId="0" applyNumberFormat="1" applyFont="1" applyFill="1" applyBorder="1" applyAlignment="1" applyProtection="1">
      <alignment horizontal="right" vertical="center" shrinkToFit="1"/>
      <protection/>
    </xf>
    <xf numFmtId="221" fontId="0" fillId="45" borderId="0" xfId="0" applyNumberFormat="1" applyFont="1" applyFill="1" applyBorder="1" applyAlignment="1" applyProtection="1">
      <alignment horizontal="right" vertical="center" indent="1" shrinkToFit="1"/>
      <protection/>
    </xf>
    <xf numFmtId="221" fontId="9" fillId="45" borderId="0" xfId="0" applyNumberFormat="1" applyFont="1" applyFill="1" applyBorder="1" applyAlignment="1" applyProtection="1">
      <alignment horizontal="right" vertical="center" indent="1" shrinkToFit="1"/>
      <protection/>
    </xf>
    <xf numFmtId="2" fontId="4" fillId="49" borderId="0" xfId="0" applyNumberFormat="1" applyFont="1" applyFill="1" applyBorder="1" applyAlignment="1" applyProtection="1">
      <alignment horizontal="center" vertical="center" shrinkToFit="1"/>
      <protection/>
    </xf>
    <xf numFmtId="2" fontId="4" fillId="49" borderId="111" xfId="0" applyNumberFormat="1" applyFont="1" applyFill="1" applyBorder="1" applyAlignment="1" applyProtection="1">
      <alignment horizontal="center" vertical="center" shrinkToFit="1"/>
      <protection/>
    </xf>
    <xf numFmtId="204" fontId="43" fillId="45" borderId="0" xfId="0" applyNumberFormat="1" applyFont="1" applyFill="1" applyBorder="1" applyAlignment="1" applyProtection="1">
      <alignment horizontal="center" vertical="center" textRotation="90" shrinkToFit="1"/>
      <protection/>
    </xf>
    <xf numFmtId="184" fontId="13" fillId="45" borderId="0" xfId="0" applyNumberFormat="1" applyFont="1" applyFill="1" applyBorder="1" applyAlignment="1" applyProtection="1">
      <alignment horizontal="left" vertical="center" indent="1" shrinkToFit="1"/>
      <protection/>
    </xf>
    <xf numFmtId="168" fontId="43" fillId="45" borderId="0" xfId="0" applyNumberFormat="1" applyFont="1" applyFill="1" applyBorder="1" applyAlignment="1" applyProtection="1">
      <alignment horizontal="center" vertical="center" textRotation="90"/>
      <protection/>
    </xf>
    <xf numFmtId="176" fontId="3" fillId="45" borderId="0" xfId="0" applyNumberFormat="1" applyFont="1" applyFill="1" applyBorder="1" applyAlignment="1" applyProtection="1">
      <alignment horizontal="right" vertical="center"/>
      <protection/>
    </xf>
    <xf numFmtId="0" fontId="45" fillId="41" borderId="0" xfId="48" applyFont="1" applyFill="1" applyBorder="1" applyAlignment="1" applyProtection="1">
      <alignment horizontal="left" vertical="center" indent="1"/>
      <protection/>
    </xf>
    <xf numFmtId="0" fontId="45" fillId="41" borderId="106" xfId="48" applyFont="1" applyFill="1" applyBorder="1" applyAlignment="1" applyProtection="1">
      <alignment horizontal="left" vertical="center" indent="1"/>
      <protection/>
    </xf>
    <xf numFmtId="182" fontId="13" fillId="45" borderId="151" xfId="0" applyNumberFormat="1" applyFont="1" applyFill="1" applyBorder="1" applyAlignment="1" applyProtection="1">
      <alignment horizontal="left" vertical="center" wrapText="1" shrinkToFit="1"/>
      <protection/>
    </xf>
    <xf numFmtId="182" fontId="13" fillId="45" borderId="148" xfId="0" applyNumberFormat="1" applyFont="1" applyFill="1" applyBorder="1" applyAlignment="1" applyProtection="1">
      <alignment horizontal="left" vertical="center" wrapText="1" shrinkToFit="1"/>
      <protection/>
    </xf>
    <xf numFmtId="182" fontId="13" fillId="45" borderId="152" xfId="0" applyNumberFormat="1" applyFont="1" applyFill="1" applyBorder="1" applyAlignment="1" applyProtection="1">
      <alignment horizontal="left" vertical="center" wrapText="1" shrinkToFit="1"/>
      <protection/>
    </xf>
    <xf numFmtId="182" fontId="13" fillId="45" borderId="128" xfId="0" applyNumberFormat="1" applyFont="1" applyFill="1" applyBorder="1" applyAlignment="1" applyProtection="1">
      <alignment horizontal="left" vertical="center" wrapText="1" shrinkToFit="1"/>
      <protection/>
    </xf>
    <xf numFmtId="182" fontId="13" fillId="45" borderId="0" xfId="0" applyNumberFormat="1" applyFont="1" applyFill="1" applyBorder="1" applyAlignment="1" applyProtection="1">
      <alignment horizontal="left" vertical="center" wrapText="1" shrinkToFit="1"/>
      <protection/>
    </xf>
    <xf numFmtId="182" fontId="13" fillId="45" borderId="129" xfId="0" applyNumberFormat="1" applyFont="1" applyFill="1" applyBorder="1" applyAlignment="1" applyProtection="1">
      <alignment horizontal="left" vertical="center" wrapText="1" shrinkToFit="1"/>
      <protection/>
    </xf>
    <xf numFmtId="182" fontId="13" fillId="45" borderId="149" xfId="0" applyNumberFormat="1" applyFont="1" applyFill="1" applyBorder="1" applyAlignment="1" applyProtection="1">
      <alignment horizontal="left" vertical="center" wrapText="1" shrinkToFit="1"/>
      <protection/>
    </xf>
    <xf numFmtId="182" fontId="13" fillId="45" borderId="150" xfId="0" applyNumberFormat="1" applyFont="1" applyFill="1" applyBorder="1" applyAlignment="1" applyProtection="1">
      <alignment horizontal="left" vertical="center" wrapText="1" shrinkToFit="1"/>
      <protection/>
    </xf>
    <xf numFmtId="182" fontId="13" fillId="45" borderId="153" xfId="0" applyNumberFormat="1" applyFont="1" applyFill="1" applyBorder="1" applyAlignment="1" applyProtection="1">
      <alignment horizontal="left" vertical="center" wrapText="1" shrinkToFit="1"/>
      <protection/>
    </xf>
    <xf numFmtId="199" fontId="186" fillId="73" borderId="0" xfId="0" applyNumberFormat="1" applyFont="1" applyFill="1" applyBorder="1" applyAlignment="1" applyProtection="1">
      <alignment horizontal="right" vertical="center" shrinkToFit="1"/>
      <protection/>
    </xf>
    <xf numFmtId="0" fontId="5" fillId="65" borderId="150" xfId="0" applyFont="1" applyFill="1" applyBorder="1" applyAlignment="1" applyProtection="1">
      <alignment horizontal="left" vertical="center"/>
      <protection/>
    </xf>
    <xf numFmtId="0" fontId="150" fillId="65" borderId="0" xfId="0" applyFont="1" applyFill="1" applyBorder="1" applyAlignment="1" applyProtection="1">
      <alignment horizontal="center" vertical="center" wrapText="1"/>
      <protection/>
    </xf>
    <xf numFmtId="0" fontId="150" fillId="65" borderId="150" xfId="0" applyFont="1" applyFill="1" applyBorder="1" applyAlignment="1" applyProtection="1">
      <alignment horizontal="center" vertical="center" wrapText="1"/>
      <protection/>
    </xf>
    <xf numFmtId="185" fontId="0" fillId="34" borderId="31" xfId="0" applyNumberFormat="1" applyFont="1" applyFill="1" applyBorder="1" applyAlignment="1" applyProtection="1">
      <alignment horizontal="center" vertical="center" shrinkToFit="1"/>
      <protection/>
    </xf>
    <xf numFmtId="185" fontId="0" fillId="34" borderId="79" xfId="0" applyNumberFormat="1" applyFont="1" applyFill="1" applyBorder="1" applyAlignment="1" applyProtection="1">
      <alignment horizontal="center" vertical="center" shrinkToFit="1"/>
      <protection/>
    </xf>
    <xf numFmtId="185" fontId="0" fillId="34" borderId="29" xfId="0" applyNumberFormat="1" applyFont="1" applyFill="1" applyBorder="1" applyAlignment="1" applyProtection="1">
      <alignment horizontal="center" vertical="center" shrinkToFit="1"/>
      <protection/>
    </xf>
    <xf numFmtId="174" fontId="0" fillId="34" borderId="26" xfId="0" applyNumberFormat="1" applyFont="1" applyFill="1" applyBorder="1" applyAlignment="1" applyProtection="1">
      <alignment horizontal="center" vertical="center" shrinkToFit="1"/>
      <protection/>
    </xf>
    <xf numFmtId="174" fontId="0" fillId="34" borderId="27" xfId="0" applyNumberFormat="1" applyFont="1" applyFill="1" applyBorder="1" applyAlignment="1" applyProtection="1">
      <alignment horizontal="center" vertical="center" shrinkToFit="1"/>
      <protection/>
    </xf>
    <xf numFmtId="185" fontId="0" fillId="34" borderId="217" xfId="0" applyNumberFormat="1" applyFont="1" applyFill="1" applyBorder="1" applyAlignment="1" applyProtection="1">
      <alignment horizontal="center" vertical="center" shrinkToFit="1"/>
      <protection/>
    </xf>
    <xf numFmtId="185" fontId="0" fillId="34" borderId="218" xfId="0" applyNumberFormat="1" applyFont="1" applyFill="1" applyBorder="1" applyAlignment="1" applyProtection="1">
      <alignment horizontal="center" vertical="center" shrinkToFit="1"/>
      <protection/>
    </xf>
    <xf numFmtId="185" fontId="0" fillId="34" borderId="219" xfId="0" applyNumberFormat="1" applyFont="1" applyFill="1" applyBorder="1" applyAlignment="1" applyProtection="1">
      <alignment horizontal="center" vertical="center" shrinkToFit="1"/>
      <protection/>
    </xf>
    <xf numFmtId="0" fontId="4" fillId="34" borderId="65" xfId="0" applyFont="1" applyFill="1" applyBorder="1" applyAlignment="1" applyProtection="1">
      <alignment horizontal="center" vertical="center" wrapText="1"/>
      <protection/>
    </xf>
    <xf numFmtId="0" fontId="4" fillId="34" borderId="60" xfId="0" applyFont="1" applyFill="1" applyBorder="1" applyAlignment="1" applyProtection="1">
      <alignment horizontal="center" vertical="center" wrapText="1"/>
      <protection/>
    </xf>
    <xf numFmtId="0" fontId="4" fillId="34" borderId="61"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protection/>
    </xf>
    <xf numFmtId="0" fontId="4" fillId="34" borderId="60" xfId="0" applyFont="1" applyFill="1" applyBorder="1" applyAlignment="1" applyProtection="1">
      <alignment horizontal="center" vertical="center"/>
      <protection/>
    </xf>
    <xf numFmtId="0" fontId="4" fillId="34" borderId="61"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172" fontId="0" fillId="34" borderId="25" xfId="0" applyNumberFormat="1" applyFont="1" applyFill="1" applyBorder="1" applyAlignment="1" applyProtection="1">
      <alignment horizontal="right" vertical="center"/>
      <protection/>
    </xf>
    <xf numFmtId="172" fontId="0" fillId="34" borderId="28" xfId="0" applyNumberFormat="1" applyFont="1" applyFill="1" applyBorder="1" applyAlignment="1" applyProtection="1">
      <alignment horizontal="right" vertical="center"/>
      <protection/>
    </xf>
    <xf numFmtId="173" fontId="0" fillId="34" borderId="37" xfId="0" applyNumberFormat="1" applyFont="1" applyFill="1" applyBorder="1" applyAlignment="1" applyProtection="1">
      <alignment horizontal="center" vertical="center" shrinkToFit="1"/>
      <protection/>
    </xf>
    <xf numFmtId="173" fontId="0" fillId="34" borderId="28" xfId="0" applyNumberFormat="1" applyFont="1" applyFill="1" applyBorder="1" applyAlignment="1" applyProtection="1">
      <alignment horizontal="center" vertical="center" shrinkToFit="1"/>
      <protection/>
    </xf>
    <xf numFmtId="0" fontId="4" fillId="34" borderId="31" xfId="0" applyFont="1" applyFill="1" applyBorder="1" applyAlignment="1" applyProtection="1">
      <alignment horizontal="center" vertical="center" wrapText="1"/>
      <protection/>
    </xf>
    <xf numFmtId="0" fontId="4" fillId="34" borderId="79"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64" fillId="76" borderId="220" xfId="49" applyFont="1" applyFill="1" applyBorder="1" applyAlignment="1" applyProtection="1">
      <alignment horizontal="center" vertical="center"/>
      <protection/>
    </xf>
    <xf numFmtId="0" fontId="64" fillId="76" borderId="221" xfId="49" applyFont="1" applyFill="1" applyBorder="1" applyAlignment="1" applyProtection="1">
      <alignment horizontal="center" vertical="center"/>
      <protection/>
    </xf>
    <xf numFmtId="0" fontId="64" fillId="76" borderId="222" xfId="49" applyFont="1" applyFill="1" applyBorder="1" applyAlignment="1" applyProtection="1">
      <alignment horizontal="center" vertical="center"/>
      <protection/>
    </xf>
    <xf numFmtId="181" fontId="0" fillId="0" borderId="0" xfId="0" applyNumberFormat="1" applyBorder="1" applyAlignment="1" applyProtection="1">
      <alignment horizontal="center"/>
      <protection/>
    </xf>
    <xf numFmtId="181" fontId="0" fillId="0" borderId="0" xfId="0" applyNumberFormat="1" applyFill="1" applyBorder="1" applyAlignment="1" applyProtection="1">
      <alignment horizontal="center"/>
      <protection/>
    </xf>
    <xf numFmtId="1"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0" fillId="39" borderId="0" xfId="0" applyFill="1" applyBorder="1" applyAlignment="1" applyProtection="1">
      <alignment horizontal="center"/>
      <protection/>
    </xf>
    <xf numFmtId="1" fontId="4" fillId="40" borderId="0" xfId="0" applyNumberFormat="1" applyFont="1" applyFill="1" applyBorder="1" applyAlignment="1" applyProtection="1">
      <alignment horizontal="center"/>
      <protection/>
    </xf>
    <xf numFmtId="193" fontId="0" fillId="0" borderId="0" xfId="0" applyNumberFormat="1" applyFill="1" applyBorder="1" applyAlignment="1" applyProtection="1">
      <alignment horizontal="center"/>
      <protection/>
    </xf>
    <xf numFmtId="190" fontId="0" fillId="0" borderId="0" xfId="0" applyNumberFormat="1" applyFill="1" applyBorder="1" applyAlignment="1" applyProtection="1">
      <alignment horizontal="center"/>
      <protection/>
    </xf>
    <xf numFmtId="181" fontId="0" fillId="0" borderId="60" xfId="0" applyNumberFormat="1" applyBorder="1" applyAlignment="1" applyProtection="1">
      <alignment horizontal="center"/>
      <protection/>
    </xf>
    <xf numFmtId="190" fontId="0" fillId="0" borderId="63" xfId="0" applyNumberFormat="1" applyFill="1" applyBorder="1" applyAlignment="1" applyProtection="1">
      <alignment horizontal="center"/>
      <protection/>
    </xf>
    <xf numFmtId="190" fontId="4" fillId="40" borderId="0" xfId="0" applyNumberFormat="1" applyFont="1" applyFill="1" applyBorder="1" applyAlignment="1" applyProtection="1">
      <alignment horizontal="center"/>
      <protection/>
    </xf>
    <xf numFmtId="0" fontId="4" fillId="40" borderId="0" xfId="0" applyFont="1" applyFill="1" applyBorder="1" applyAlignment="1" applyProtection="1">
      <alignment horizontal="center"/>
      <protection/>
    </xf>
    <xf numFmtId="193" fontId="0" fillId="0" borderId="63" xfId="0" applyNumberFormat="1" applyFill="1" applyBorder="1" applyAlignment="1" applyProtection="1">
      <alignment horizontal="center"/>
      <protection/>
    </xf>
    <xf numFmtId="192" fontId="27" fillId="0" borderId="63" xfId="0" applyNumberFormat="1" applyFont="1" applyBorder="1" applyAlignment="1" applyProtection="1">
      <alignment horizontal="center"/>
      <protection/>
    </xf>
    <xf numFmtId="0" fontId="20" fillId="0" borderId="0" xfId="0" applyFont="1" applyBorder="1" applyAlignment="1" applyProtection="1">
      <alignment horizontal="left" vertical="top" wrapText="1"/>
      <protection/>
    </xf>
    <xf numFmtId="0" fontId="20" fillId="0" borderId="63" xfId="0" applyFont="1" applyBorder="1" applyAlignment="1" applyProtection="1">
      <alignment horizontal="left" vertical="top" wrapText="1"/>
      <protection/>
    </xf>
    <xf numFmtId="1" fontId="4" fillId="0" borderId="60" xfId="0" applyNumberFormat="1" applyFont="1" applyBorder="1" applyAlignment="1" applyProtection="1">
      <alignment horizontal="center"/>
      <protection/>
    </xf>
    <xf numFmtId="0" fontId="9" fillId="0" borderId="0" xfId="0" applyFont="1" applyAlignment="1" applyProtection="1">
      <alignment horizontal="center" vertical="center" shrinkToFit="1"/>
      <protection/>
    </xf>
    <xf numFmtId="0" fontId="0" fillId="39" borderId="0" xfId="0" applyFont="1" applyFill="1" applyBorder="1" applyAlignment="1" applyProtection="1">
      <alignment horizontal="center"/>
      <protection/>
    </xf>
    <xf numFmtId="228" fontId="13" fillId="41" borderId="31" xfId="0" applyNumberFormat="1" applyFont="1" applyFill="1" applyBorder="1" applyAlignment="1" applyProtection="1">
      <alignment horizontal="right" vertical="center" indent="1" shrinkToFit="1"/>
      <protection/>
    </xf>
    <xf numFmtId="228" fontId="13" fillId="41" borderId="29" xfId="0" applyNumberFormat="1" applyFont="1" applyFill="1" applyBorder="1" applyAlignment="1" applyProtection="1">
      <alignment horizontal="right" vertical="center" indent="1" shrinkToFit="1"/>
      <protection/>
    </xf>
    <xf numFmtId="176" fontId="13" fillId="41" borderId="31" xfId="0" applyNumberFormat="1" applyFont="1" applyFill="1" applyBorder="1" applyAlignment="1" applyProtection="1">
      <alignment horizontal="right" vertical="center" indent="1" shrinkToFit="1"/>
      <protection/>
    </xf>
    <xf numFmtId="176" fontId="13" fillId="41" borderId="29" xfId="0" applyNumberFormat="1" applyFont="1" applyFill="1" applyBorder="1" applyAlignment="1" applyProtection="1">
      <alignment horizontal="right" vertical="center" indent="1" shrinkToFit="1"/>
      <protection/>
    </xf>
    <xf numFmtId="3" fontId="13" fillId="41" borderId="31" xfId="0" applyNumberFormat="1" applyFont="1" applyFill="1" applyBorder="1" applyAlignment="1" applyProtection="1">
      <alignment horizontal="right" vertical="center" indent="1" shrinkToFit="1"/>
      <protection/>
    </xf>
    <xf numFmtId="3" fontId="13" fillId="41" borderId="29" xfId="0" applyNumberFormat="1" applyFont="1" applyFill="1" applyBorder="1" applyAlignment="1" applyProtection="1">
      <alignment horizontal="right" vertical="center" indent="1" shrinkToFit="1"/>
      <protection/>
    </xf>
    <xf numFmtId="226" fontId="13" fillId="41" borderId="31" xfId="0" applyNumberFormat="1" applyFont="1" applyFill="1" applyBorder="1" applyAlignment="1" applyProtection="1">
      <alignment horizontal="right" vertical="center" indent="1" shrinkToFit="1"/>
      <protection/>
    </xf>
    <xf numFmtId="226" fontId="13" fillId="41" borderId="29" xfId="0" applyNumberFormat="1" applyFont="1" applyFill="1" applyBorder="1" applyAlignment="1" applyProtection="1">
      <alignment horizontal="right" vertical="center" indent="1" shrinkToFit="1"/>
      <protection/>
    </xf>
    <xf numFmtId="165" fontId="150" fillId="41" borderId="80" xfId="0" applyNumberFormat="1" applyFont="1" applyFill="1" applyBorder="1" applyAlignment="1" applyProtection="1">
      <alignment horizontal="center" vertical="center"/>
      <protection/>
    </xf>
    <xf numFmtId="165" fontId="150" fillId="41" borderId="82" xfId="0" applyNumberFormat="1" applyFont="1" applyFill="1" applyBorder="1" applyAlignment="1" applyProtection="1">
      <alignment horizontal="center" vertical="center"/>
      <protection/>
    </xf>
    <xf numFmtId="207" fontId="4" fillId="41" borderId="211" xfId="0" applyNumberFormat="1" applyFont="1" applyFill="1" applyBorder="1" applyAlignment="1" applyProtection="1">
      <alignment horizontal="center" vertical="center" textRotation="90"/>
      <protection/>
    </xf>
    <xf numFmtId="207" fontId="4" fillId="41" borderId="86" xfId="0" applyNumberFormat="1" applyFont="1" applyFill="1" applyBorder="1" applyAlignment="1" applyProtection="1">
      <alignment horizontal="center" vertical="center" textRotation="90"/>
      <protection/>
    </xf>
    <xf numFmtId="207" fontId="4" fillId="41" borderId="37" xfId="0" applyNumberFormat="1" applyFont="1" applyFill="1" applyBorder="1" applyAlignment="1" applyProtection="1">
      <alignment horizontal="center" vertical="center" textRotation="90"/>
      <protection/>
    </xf>
    <xf numFmtId="2" fontId="0" fillId="69" borderId="223" xfId="0" applyNumberFormat="1" applyFill="1" applyBorder="1" applyAlignment="1" applyProtection="1">
      <alignment horizontal="center"/>
      <protection/>
    </xf>
    <xf numFmtId="2" fontId="0" fillId="69" borderId="224" xfId="0" applyNumberFormat="1" applyFill="1" applyBorder="1" applyAlignment="1" applyProtection="1">
      <alignment horizontal="center"/>
      <protection/>
    </xf>
    <xf numFmtId="172" fontId="13" fillId="43" borderId="83" xfId="0" applyNumberFormat="1" applyFont="1" applyFill="1" applyBorder="1" applyAlignment="1" applyProtection="1">
      <alignment horizontal="right" vertical="center" shrinkToFit="1"/>
      <protection/>
    </xf>
    <xf numFmtId="186" fontId="13" fillId="43" borderId="83" xfId="0" applyNumberFormat="1" applyFont="1" applyFill="1" applyBorder="1" applyAlignment="1" applyProtection="1">
      <alignment horizontal="right" vertical="center" shrinkToFit="1"/>
      <protection/>
    </xf>
    <xf numFmtId="3" fontId="144" fillId="34" borderId="80" xfId="0" applyNumberFormat="1" applyFont="1" applyFill="1" applyBorder="1" applyAlignment="1" applyProtection="1">
      <alignment horizontal="center" vertical="center"/>
      <protection/>
    </xf>
    <xf numFmtId="3" fontId="144" fillId="34" borderId="82" xfId="0" applyNumberFormat="1" applyFont="1" applyFill="1" applyBorder="1" applyAlignment="1" applyProtection="1">
      <alignment horizontal="center" vertical="center"/>
      <protection/>
    </xf>
    <xf numFmtId="170" fontId="13" fillId="41" borderId="31" xfId="0" applyNumberFormat="1" applyFont="1" applyFill="1" applyBorder="1" applyAlignment="1" applyProtection="1" quotePrefix="1">
      <alignment horizontal="right" vertical="center" indent="1" shrinkToFit="1"/>
      <protection/>
    </xf>
    <xf numFmtId="170" fontId="13" fillId="41" borderId="29" xfId="0" applyNumberFormat="1" applyFont="1" applyFill="1" applyBorder="1" applyAlignment="1" applyProtection="1">
      <alignment horizontal="right" vertical="center" indent="1" shrinkToFit="1"/>
      <protection/>
    </xf>
    <xf numFmtId="170" fontId="13" fillId="41" borderId="31" xfId="0" applyNumberFormat="1" applyFont="1" applyFill="1" applyBorder="1" applyAlignment="1" applyProtection="1">
      <alignment horizontal="right" vertical="center" indent="1" shrinkToFit="1"/>
      <protection/>
    </xf>
    <xf numFmtId="0" fontId="13" fillId="56" borderId="31" xfId="0" applyFont="1" applyFill="1" applyBorder="1" applyAlignment="1" applyProtection="1">
      <alignment horizontal="right" vertical="center" indent="1"/>
      <protection/>
    </xf>
    <xf numFmtId="0" fontId="13" fillId="56" borderId="29" xfId="0" applyFont="1" applyFill="1" applyBorder="1" applyAlignment="1" applyProtection="1">
      <alignment horizontal="right" vertical="center" indent="1"/>
      <protection/>
    </xf>
    <xf numFmtId="170" fontId="13" fillId="67" borderId="31" xfId="0" applyNumberFormat="1" applyFont="1" applyFill="1" applyBorder="1" applyAlignment="1" applyProtection="1">
      <alignment horizontal="right" vertical="center" indent="1" shrinkToFit="1"/>
      <protection/>
    </xf>
    <xf numFmtId="170" fontId="13" fillId="67" borderId="29" xfId="0" applyNumberFormat="1" applyFont="1" applyFill="1" applyBorder="1" applyAlignment="1" applyProtection="1">
      <alignment horizontal="right" vertical="center" indent="1" shrinkToFit="1"/>
      <protection/>
    </xf>
    <xf numFmtId="169" fontId="13" fillId="41" borderId="31" xfId="0" applyNumberFormat="1" applyFont="1" applyFill="1" applyBorder="1" applyAlignment="1" applyProtection="1">
      <alignment horizontal="right" vertical="center" indent="1" shrinkToFit="1"/>
      <protection/>
    </xf>
    <xf numFmtId="169" fontId="13" fillId="41" borderId="29" xfId="0" applyNumberFormat="1" applyFont="1" applyFill="1" applyBorder="1" applyAlignment="1" applyProtection="1">
      <alignment horizontal="right" vertical="center" indent="1" shrinkToFit="1"/>
      <protection/>
    </xf>
    <xf numFmtId="176" fontId="13" fillId="67" borderId="31" xfId="0" applyNumberFormat="1" applyFont="1" applyFill="1" applyBorder="1" applyAlignment="1" applyProtection="1">
      <alignment horizontal="right" vertical="center" indent="1" shrinkToFit="1"/>
      <protection/>
    </xf>
    <xf numFmtId="176" fontId="13" fillId="67" borderId="29" xfId="0" applyNumberFormat="1" applyFont="1" applyFill="1" applyBorder="1" applyAlignment="1" applyProtection="1">
      <alignment horizontal="right" vertical="center" indent="1" shrinkToFit="1"/>
      <protection/>
    </xf>
    <xf numFmtId="9" fontId="13" fillId="41" borderId="31" xfId="0" applyNumberFormat="1" applyFont="1" applyFill="1" applyBorder="1" applyAlignment="1" applyProtection="1">
      <alignment horizontal="right" vertical="center" indent="1"/>
      <protection/>
    </xf>
    <xf numFmtId="9" fontId="13" fillId="41" borderId="29" xfId="0" applyNumberFormat="1" applyFont="1" applyFill="1" applyBorder="1" applyAlignment="1" applyProtection="1">
      <alignment horizontal="right" vertical="center" indent="1"/>
      <protection/>
    </xf>
    <xf numFmtId="189" fontId="13" fillId="67" borderId="31" xfId="0" applyNumberFormat="1" applyFont="1" applyFill="1" applyBorder="1" applyAlignment="1" applyProtection="1">
      <alignment horizontal="right" vertical="center" indent="1"/>
      <protection/>
    </xf>
    <xf numFmtId="189" fontId="13" fillId="67" borderId="29" xfId="0" applyNumberFormat="1" applyFont="1" applyFill="1" applyBorder="1" applyAlignment="1" applyProtection="1">
      <alignment horizontal="right" vertical="center" indent="1"/>
      <protection/>
    </xf>
    <xf numFmtId="166" fontId="13" fillId="67" borderId="31" xfId="0" applyNumberFormat="1" applyFont="1" applyFill="1" applyBorder="1" applyAlignment="1" applyProtection="1">
      <alignment horizontal="right" vertical="center" indent="1"/>
      <protection/>
    </xf>
    <xf numFmtId="166" fontId="13" fillId="67" borderId="29" xfId="0" applyNumberFormat="1" applyFont="1" applyFill="1" applyBorder="1" applyAlignment="1" applyProtection="1">
      <alignment horizontal="right" vertical="center" indent="1"/>
      <protection/>
    </xf>
    <xf numFmtId="171" fontId="13" fillId="41" borderId="31" xfId="0" applyNumberFormat="1" applyFont="1" applyFill="1" applyBorder="1" applyAlignment="1" applyProtection="1">
      <alignment horizontal="right" vertical="center" indent="1" shrinkToFit="1"/>
      <protection/>
    </xf>
    <xf numFmtId="171" fontId="13" fillId="41" borderId="29" xfId="0" applyNumberFormat="1" applyFont="1" applyFill="1" applyBorder="1" applyAlignment="1" applyProtection="1">
      <alignment horizontal="right" vertical="center" indent="1" shrinkToFit="1"/>
      <protection/>
    </xf>
    <xf numFmtId="0" fontId="13" fillId="41" borderId="31" xfId="0" applyFont="1" applyFill="1" applyBorder="1" applyAlignment="1" applyProtection="1">
      <alignment horizontal="right" vertical="center" indent="1"/>
      <protection/>
    </xf>
    <xf numFmtId="0" fontId="13" fillId="41" borderId="29" xfId="0" applyFont="1" applyFill="1" applyBorder="1" applyAlignment="1" applyProtection="1">
      <alignment horizontal="right" vertical="center" indent="1"/>
      <protection/>
    </xf>
    <xf numFmtId="191" fontId="13" fillId="41" borderId="31" xfId="0" applyNumberFormat="1" applyFont="1" applyFill="1" applyBorder="1" applyAlignment="1" applyProtection="1">
      <alignment horizontal="right" vertical="center" indent="1" shrinkToFit="1"/>
      <protection/>
    </xf>
    <xf numFmtId="191" fontId="13" fillId="41" borderId="29" xfId="0" applyNumberFormat="1" applyFont="1" applyFill="1" applyBorder="1" applyAlignment="1" applyProtection="1">
      <alignment horizontal="right" vertical="center" indent="1" shrinkToFit="1"/>
      <protection/>
    </xf>
    <xf numFmtId="183" fontId="13" fillId="41" borderId="31" xfId="0" applyNumberFormat="1" applyFont="1" applyFill="1" applyBorder="1" applyAlignment="1" applyProtection="1">
      <alignment horizontal="right" vertical="center" indent="1" shrinkToFit="1"/>
      <protection/>
    </xf>
    <xf numFmtId="183" fontId="13" fillId="41" borderId="29" xfId="0" applyNumberFormat="1" applyFont="1" applyFill="1" applyBorder="1" applyAlignment="1" applyProtection="1">
      <alignment horizontal="right" vertical="center" indent="1" shrinkToFit="1"/>
      <protection/>
    </xf>
    <xf numFmtId="0" fontId="13" fillId="77" borderId="50" xfId="0" applyFont="1" applyFill="1" applyBorder="1" applyAlignment="1" applyProtection="1">
      <alignment horizontal="left" vertical="center" wrapText="1"/>
      <protection/>
    </xf>
    <xf numFmtId="0" fontId="13" fillId="77" borderId="51" xfId="0" applyFont="1" applyFill="1" applyBorder="1" applyAlignment="1" applyProtection="1">
      <alignment horizontal="left" vertical="center" wrapText="1"/>
      <protection/>
    </xf>
    <xf numFmtId="0" fontId="13" fillId="77" borderId="52" xfId="0" applyFont="1" applyFill="1" applyBorder="1" applyAlignment="1" applyProtection="1">
      <alignment horizontal="left" vertical="center" wrapText="1"/>
      <protection/>
    </xf>
    <xf numFmtId="188" fontId="13" fillId="67" borderId="31" xfId="0" applyNumberFormat="1" applyFont="1" applyFill="1" applyBorder="1" applyAlignment="1" applyProtection="1">
      <alignment horizontal="right" vertical="center" indent="1" shrinkToFit="1"/>
      <protection/>
    </xf>
    <xf numFmtId="188" fontId="13" fillId="67" borderId="29" xfId="0" applyNumberFormat="1" applyFont="1" applyFill="1" applyBorder="1" applyAlignment="1" applyProtection="1">
      <alignment horizontal="right" vertical="center" indent="1" shrinkToFit="1"/>
      <protection/>
    </xf>
    <xf numFmtId="169" fontId="13" fillId="67" borderId="31" xfId="0" applyNumberFormat="1" applyFont="1" applyFill="1" applyBorder="1" applyAlignment="1" applyProtection="1">
      <alignment horizontal="right" vertical="center" indent="1" shrinkToFit="1"/>
      <protection/>
    </xf>
    <xf numFmtId="169" fontId="13" fillId="67" borderId="29" xfId="0" applyNumberFormat="1" applyFont="1" applyFill="1" applyBorder="1" applyAlignment="1" applyProtection="1">
      <alignment horizontal="right" vertical="center" indent="1" shrinkToFit="1"/>
      <protection/>
    </xf>
    <xf numFmtId="0" fontId="4" fillId="41" borderId="211" xfId="0" applyFont="1" applyFill="1" applyBorder="1" applyAlignment="1" applyProtection="1">
      <alignment horizontal="center" vertical="center" textRotation="90"/>
      <protection/>
    </xf>
    <xf numFmtId="0" fontId="4" fillId="41" borderId="86" xfId="0" applyFont="1" applyFill="1" applyBorder="1" applyAlignment="1" applyProtection="1">
      <alignment horizontal="center" vertical="center" textRotation="90"/>
      <protection/>
    </xf>
    <xf numFmtId="0" fontId="4" fillId="41" borderId="212" xfId="0" applyFont="1" applyFill="1" applyBorder="1" applyAlignment="1" applyProtection="1">
      <alignment horizontal="center" vertical="center" textRotation="90"/>
      <protection/>
    </xf>
    <xf numFmtId="4" fontId="13" fillId="41" borderId="31" xfId="0" applyNumberFormat="1" applyFont="1" applyFill="1" applyBorder="1" applyAlignment="1" applyProtection="1">
      <alignment horizontal="right" vertical="center" indent="1" shrinkToFit="1"/>
      <protection/>
    </xf>
    <xf numFmtId="4" fontId="13" fillId="41" borderId="29" xfId="0" applyNumberFormat="1" applyFont="1" applyFill="1" applyBorder="1" applyAlignment="1" applyProtection="1">
      <alignment horizontal="right" vertical="center" indent="1" shrinkToFit="1"/>
      <protection/>
    </xf>
    <xf numFmtId="205" fontId="13" fillId="41" borderId="31" xfId="0" applyNumberFormat="1" applyFont="1" applyFill="1" applyBorder="1" applyAlignment="1" applyProtection="1">
      <alignment horizontal="right" vertical="center" indent="1" shrinkToFit="1"/>
      <protection/>
    </xf>
    <xf numFmtId="205" fontId="13" fillId="41" borderId="29" xfId="0" applyNumberFormat="1" applyFont="1" applyFill="1" applyBorder="1" applyAlignment="1" applyProtection="1">
      <alignment horizontal="right" vertical="center" indent="1" shrinkToFit="1"/>
      <protection/>
    </xf>
    <xf numFmtId="167" fontId="13" fillId="41" borderId="31" xfId="0" applyNumberFormat="1" applyFont="1" applyFill="1" applyBorder="1" applyAlignment="1" applyProtection="1">
      <alignment horizontal="right" vertical="center" indent="1" shrinkToFit="1"/>
      <protection/>
    </xf>
    <xf numFmtId="167" fontId="13" fillId="41" borderId="29" xfId="0" applyNumberFormat="1" applyFont="1" applyFill="1" applyBorder="1" applyAlignment="1" applyProtection="1">
      <alignment horizontal="right" vertical="center" indent="1" shrinkToFit="1"/>
      <protection/>
    </xf>
    <xf numFmtId="14" fontId="189" fillId="78" borderId="31" xfId="0" applyNumberFormat="1" applyFont="1" applyFill="1" applyBorder="1" applyAlignment="1" applyProtection="1">
      <alignment horizontal="right" vertical="center" indent="1"/>
      <protection/>
    </xf>
    <xf numFmtId="14" fontId="189" fillId="78" borderId="29" xfId="0" applyNumberFormat="1" applyFont="1" applyFill="1" applyBorder="1" applyAlignment="1" applyProtection="1">
      <alignment horizontal="right" vertical="center" indent="1"/>
      <protection/>
    </xf>
    <xf numFmtId="195" fontId="0" fillId="44" borderId="78" xfId="0" applyNumberFormat="1" applyFill="1" applyBorder="1" applyAlignment="1">
      <alignment horizontal="right"/>
    </xf>
    <xf numFmtId="195" fontId="0" fillId="44" borderId="71" xfId="0" applyNumberFormat="1" applyFill="1" applyBorder="1" applyAlignment="1">
      <alignment horizontal="right"/>
    </xf>
    <xf numFmtId="0" fontId="0" fillId="44" borderId="225" xfId="0" applyFill="1" applyBorder="1" applyAlignment="1">
      <alignment horizontal="right"/>
    </xf>
    <xf numFmtId="0" fontId="0" fillId="44" borderId="226" xfId="0" applyFill="1" applyBorder="1" applyAlignment="1">
      <alignment horizontal="right"/>
    </xf>
    <xf numFmtId="166" fontId="0" fillId="44" borderId="26" xfId="0" applyNumberFormat="1" applyFill="1" applyBorder="1" applyAlignment="1">
      <alignment horizontal="right"/>
    </xf>
    <xf numFmtId="166" fontId="0" fillId="44" borderId="28" xfId="0" applyNumberFormat="1" applyFill="1" applyBorder="1" applyAlignment="1">
      <alignment horizontal="right"/>
    </xf>
    <xf numFmtId="9" fontId="0" fillId="44" borderId="0" xfId="0" applyNumberFormat="1" applyFill="1" applyBorder="1" applyAlignment="1">
      <alignment horizontal="right"/>
    </xf>
    <xf numFmtId="9" fontId="0" fillId="44" borderId="54" xfId="0" applyNumberFormat="1" applyFill="1" applyBorder="1" applyAlignment="1">
      <alignment horizontal="right"/>
    </xf>
    <xf numFmtId="195" fontId="0" fillId="44" borderId="51" xfId="0" applyNumberFormat="1" applyFill="1" applyBorder="1" applyAlignment="1">
      <alignment horizontal="right"/>
    </xf>
    <xf numFmtId="195" fontId="0" fillId="44" borderId="52" xfId="0" applyNumberFormat="1" applyFill="1" applyBorder="1" applyAlignment="1">
      <alignment horizontal="right"/>
    </xf>
    <xf numFmtId="0" fontId="0" fillId="44" borderId="0" xfId="0" applyFill="1" applyBorder="1" applyAlignment="1">
      <alignment horizontal="right"/>
    </xf>
    <xf numFmtId="0" fontId="0" fillId="44" borderId="54" xfId="0" applyFill="1" applyBorder="1" applyAlignment="1">
      <alignment horizontal="right"/>
    </xf>
    <xf numFmtId="166" fontId="0" fillId="44" borderId="0" xfId="0" applyNumberFormat="1" applyFill="1" applyBorder="1" applyAlignment="1">
      <alignment horizontal="right"/>
    </xf>
    <xf numFmtId="166" fontId="0" fillId="44" borderId="54" xfId="0" applyNumberFormat="1" applyFill="1" applyBorder="1" applyAlignment="1">
      <alignment horizontal="right"/>
    </xf>
    <xf numFmtId="169" fontId="0" fillId="44" borderId="0" xfId="0" applyNumberFormat="1" applyFill="1" applyBorder="1" applyAlignment="1">
      <alignment horizontal="right"/>
    </xf>
    <xf numFmtId="169" fontId="0" fillId="44" borderId="54" xfId="0" applyNumberFormat="1" applyFill="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intergrund" xfId="48"/>
    <cellStyle name="Hyperlink" xfId="49"/>
    <cellStyle name="Comma"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03">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CCFF"/>
        </patternFill>
      </fill>
    </dxf>
    <dxf>
      <fill>
        <patternFill>
          <bgColor rgb="FFFF6600"/>
        </patternFill>
      </fill>
    </dxf>
    <dxf>
      <fill>
        <patternFill>
          <bgColor rgb="FFFFCCFF"/>
        </patternFill>
      </fill>
    </dxf>
    <dxf/>
    <dxf/>
    <dxf/>
    <dxf/>
    <dxf/>
    <dxf/>
    <dxf/>
    <dxf/>
    <dxf/>
    <dxf/>
    <dxf/>
    <dxf/>
    <dxf/>
    <dxf/>
    <dxf/>
    <dxf/>
    <dxf/>
    <dxf/>
    <dxf/>
    <dxf/>
    <dxf/>
    <dxf/>
    <dxf/>
    <dxf/>
    <dxf/>
    <dxf/>
    <dxf/>
    <dxf/>
    <dxf/>
    <dxf/>
    <dxf/>
    <dxf/>
    <dxf/>
    <dxf/>
    <dxf/>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CCFF"/>
        </patternFill>
      </fill>
    </dxf>
    <dxf>
      <fill>
        <patternFill>
          <bgColor rgb="FFFFCCFF"/>
        </patternFill>
      </fill>
    </dxf>
    <dxf>
      <fill>
        <patternFill>
          <bgColor rgb="FFFF6600"/>
        </patternFill>
      </fill>
    </dxf>
    <dxf>
      <fill>
        <patternFill>
          <bgColor rgb="FFFF6600"/>
        </patternFill>
      </fill>
    </dxf>
    <dxf>
      <border>
        <left style="thin">
          <color rgb="FFFF0000"/>
        </left>
        <right style="thin">
          <color rgb="FFFF0000"/>
        </right>
        <top style="thin">
          <color rgb="FFFF0000"/>
        </top>
        <bottom style="thin">
          <color rgb="FFFF0000"/>
        </bottom>
      </border>
    </dxf>
    <dxf>
      <border>
        <bottom/>
      </border>
    </dxf>
    <dxf>
      <font>
        <color theme="0"/>
      </font>
      <fill>
        <patternFill>
          <bgColor rgb="FFFF0000"/>
        </patternFill>
      </fill>
    </dxf>
    <dxf/>
    <dxf/>
    <dxf/>
    <dxf/>
    <dxf/>
    <dxf/>
    <dxf/>
    <dxf/>
    <dxf/>
    <dxf/>
    <dxf/>
    <dxf/>
    <dxf/>
    <dxf/>
    <dxf/>
    <dxf/>
    <dxf/>
    <dxf/>
    <dxf/>
    <dxf/>
    <dxf/>
    <dxf/>
    <dxf/>
    <dxf/>
    <dxf/>
    <dxf/>
    <dxf/>
    <dxf/>
    <dxf/>
    <dxf/>
    <dxf/>
    <dxf/>
    <dxf/>
    <dxf/>
    <dxf/>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05725"/>
          <c:w val="0.874"/>
          <c:h val="0.78075"/>
        </c:manualLayout>
      </c:layout>
      <c:barChart>
        <c:barDir val="col"/>
        <c:grouping val="clustered"/>
        <c:varyColors val="0"/>
        <c:ser>
          <c:idx val="0"/>
          <c:order val="0"/>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Grafik_Ertrag!$H$10:$H$21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5506678"/>
        <c:axId val="29798055"/>
      </c:barChart>
      <c:lineChart>
        <c:grouping val="standard"/>
        <c:varyColors val="0"/>
        <c:ser>
          <c:idx val="1"/>
          <c:order val="1"/>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FF0000"/>
              </a:solidFill>
              <a:ln>
                <a:solidFill>
                  <a:srgbClr val="800000"/>
                </a:solidFill>
              </a:ln>
            </c:spPr>
          </c:marker>
          <c:val>
            <c:numRef>
              <c:f>Grafik_Ertrag!$I$10:$I$21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FF00"/>
              </a:solidFill>
              <a:ln>
                <a:solidFill>
                  <a:srgbClr val="008000"/>
                </a:solidFill>
              </a:ln>
            </c:spPr>
          </c:marker>
          <c:val>
            <c:numRef>
              <c:f>Grafik_Ertrag!$J$10:$J$21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FF"/>
                </a:solidFill>
              </a:ln>
            </c:spPr>
          </c:marker>
          <c:val>
            <c:numRef>
              <c:f>Grafik_Ertrag!$K$10:$K$21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srgbClr val="000000"/>
              </a:solidFill>
            </a:ln>
          </c:spPr>
        </c:hiLowLines>
        <c:axId val="66855904"/>
        <c:axId val="64832225"/>
      </c:lineChart>
      <c:catAx>
        <c:axId val="55506678"/>
        <c:scaling>
          <c:orientation val="minMax"/>
        </c:scaling>
        <c:axPos val="b"/>
        <c:delete val="0"/>
        <c:numFmt formatCode="General" sourceLinked="1"/>
        <c:majorTickMark val="none"/>
        <c:minorTickMark val="none"/>
        <c:tickLblPos val="none"/>
        <c:spPr>
          <a:ln w="3175">
            <a:solidFill>
              <a:srgbClr val="808080"/>
            </a:solidFill>
          </a:ln>
        </c:spPr>
        <c:crossAx val="29798055"/>
        <c:crosses val="autoZero"/>
        <c:auto val="1"/>
        <c:lblOffset val="100"/>
        <c:tickLblSkip val="1"/>
        <c:noMultiLvlLbl val="0"/>
      </c:catAx>
      <c:valAx>
        <c:axId val="29798055"/>
        <c:scaling>
          <c:orientation val="minMax"/>
          <c:max val="9"/>
          <c:min val="0"/>
        </c:scaling>
        <c:axPos val="l"/>
        <c:majorGridlines>
          <c:spPr>
            <a:ln w="3175">
              <a:solidFill>
                <a:srgbClr val="808080"/>
              </a:solidFill>
              <a:prstDash val="dash"/>
            </a:ln>
          </c:spPr>
        </c:majorGridlines>
        <c:delete val="0"/>
        <c:numFmt formatCode="General" sourceLinked="1"/>
        <c:majorTickMark val="out"/>
        <c:minorTickMark val="none"/>
        <c:tickLblPos val="none"/>
        <c:spPr>
          <a:ln w="3175">
            <a:solidFill>
              <a:srgbClr val="808080"/>
            </a:solidFill>
          </a:ln>
        </c:spPr>
        <c:crossAx val="55506678"/>
        <c:crossesAt val="1"/>
        <c:crossBetween val="between"/>
        <c:dispUnits/>
        <c:majorUnit val="1"/>
      </c:valAx>
      <c:catAx>
        <c:axId val="66855904"/>
        <c:scaling>
          <c:orientation val="minMax"/>
        </c:scaling>
        <c:axPos val="b"/>
        <c:delete val="1"/>
        <c:majorTickMark val="out"/>
        <c:minorTickMark val="none"/>
        <c:tickLblPos val="nextTo"/>
        <c:crossAx val="64832225"/>
        <c:crosses val="autoZero"/>
        <c:auto val="1"/>
        <c:lblOffset val="100"/>
        <c:tickLblSkip val="1"/>
        <c:noMultiLvlLbl val="0"/>
      </c:catAx>
      <c:valAx>
        <c:axId val="64832225"/>
        <c:scaling>
          <c:orientation val="minMax"/>
          <c:max val="9"/>
          <c:min val="0"/>
        </c:scaling>
        <c:axPos val="l"/>
        <c:delete val="0"/>
        <c:numFmt formatCode="General" sourceLinked="1"/>
        <c:majorTickMark val="none"/>
        <c:minorTickMark val="none"/>
        <c:tickLblPos val="none"/>
        <c:spPr>
          <a:ln w="3175">
            <a:solidFill>
              <a:srgbClr val="808080"/>
            </a:solidFill>
          </a:ln>
        </c:spPr>
        <c:crossAx val="66855904"/>
        <c:crosses val="max"/>
        <c:crossBetween val="between"/>
        <c:dispUnits/>
        <c:majorUnit val="1"/>
      </c:valAx>
      <c:spPr>
        <a:gradFill rotWithShape="1">
          <a:gsLst>
            <a:gs pos="0">
              <a:srgbClr val="FFFF00"/>
            </a:gs>
            <a:gs pos="100000">
              <a:srgbClr val="FFFFFF"/>
            </a:gs>
          </a:gsLst>
          <a:lin ang="2700000" scaled="1"/>
        </a:gra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7375"/>
          <c:w val="0.841"/>
          <c:h val="0.90925"/>
        </c:manualLayout>
      </c:layout>
      <c:scatterChart>
        <c:scatterStyle val="lineMarker"/>
        <c:varyColors val="0"/>
        <c:ser>
          <c:idx val="0"/>
          <c:order val="0"/>
          <c:tx>
            <c:strRef>
              <c:f>Grafik_Kosten!$B$34</c:f>
              <c:strCache>
                <c:ptCount val="1"/>
                <c:pt idx="0">
                  <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FF0000"/>
                </a:solidFill>
                <a:prstDash val="sysDot"/>
              </a:ln>
            </c:spPr>
            <c:marker>
              <c:symbol val="none"/>
            </c:marker>
          </c:dPt>
          <c:dPt>
            <c:idx val="13"/>
            <c:spPr>
              <a:ln w="25400">
                <a:solidFill>
                  <a:srgbClr val="FF0000"/>
                </a:solidFill>
                <a:prstDash val="sysDot"/>
              </a:ln>
            </c:spPr>
            <c:marker>
              <c:symbol val="circle"/>
              <c:size val="10"/>
              <c:spPr>
                <a:solidFill>
                  <a:srgbClr val="FFFF00"/>
                </a:solidFill>
                <a:ln>
                  <a:solidFill>
                    <a:srgbClr val="0000FF"/>
                  </a:solidFill>
                </a:ln>
              </c:spPr>
            </c:marker>
          </c:dPt>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Grafik_Kosten!$C$34:$Q$34</c:f>
              <c:numCache>
                <c:ptCount val="15"/>
                <c:pt idx="12">
                  <c:v>0</c:v>
                </c:pt>
                <c:pt idx="13">
                  <c:v>0</c:v>
                </c:pt>
                <c:pt idx="14">
                  <c:v>0</c:v>
                </c:pt>
              </c:numCache>
            </c:numRef>
          </c:yVal>
          <c:smooth val="0"/>
        </c:ser>
        <c:ser>
          <c:idx val="1"/>
          <c:order val="1"/>
          <c:tx>
            <c:strRef>
              <c:f>Grafik_Kosten!$B$35</c:f>
              <c:strCache>
                <c:ptCount val="1"/>
                <c:pt idx="0">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dLbl>
              <c:idx val="10"/>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dLbl>
              <c:idx val="11"/>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CCFFFF"/>
                </a:solidFill>
                <a:ln w="3175">
                  <a:solidFill>
                    <a:srgbClr val="0000FF"/>
                  </a:solidFill>
                </a:ln>
              </c:spPr>
              <c:dLblPos val="t"/>
              <c:showLegendKey val="0"/>
              <c:showVal val="1"/>
              <c:showBubbleSize val="0"/>
              <c:showCatName val="0"/>
              <c:showSerName val="0"/>
              <c:showPercent val="0"/>
            </c:dLbl>
            <c:numFmt formatCode="#,##0.000" sourceLinked="0"/>
            <c:spPr>
              <a:solidFill>
                <a:srgbClr val="FFFFFF"/>
              </a:solidFill>
              <a:ln w="3175">
                <a:solidFill>
                  <a:srgbClr val="0000FF"/>
                </a:solidFill>
              </a:ln>
            </c:spPr>
            <c:txPr>
              <a:bodyPr vert="horz" rot="-5400000" anchor="ctr"/>
              <a:lstStyle/>
              <a:p>
                <a:pPr algn="ctr">
                  <a:defRPr lang="en-US" cap="none" sz="1100" b="0" i="0" u="none" baseline="0">
                    <a:solidFill>
                      <a:srgbClr val="000000"/>
                    </a:solidFill>
                    <a:latin typeface="Arial"/>
                    <a:ea typeface="Arial"/>
                    <a:cs typeface="Arial"/>
                  </a:defRPr>
                </a:pPr>
              </a:p>
            </c:txPr>
            <c:dLblPos val="t"/>
            <c:showLegendKey val="0"/>
            <c:showVal val="1"/>
            <c:showBubbleSize val="0"/>
            <c:showCatName val="0"/>
            <c:showSerName val="0"/>
            <c:showPercent val="0"/>
          </c:dLbls>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Grafik_Kosten!$C$35:$Q$35</c:f>
              <c:numCache>
                <c:ptCount val="15"/>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46619114"/>
        <c:axId val="16918843"/>
      </c:scatterChart>
      <c:valAx>
        <c:axId val="46619114"/>
        <c:scaling>
          <c:orientation val="minMax"/>
          <c:max val="100"/>
          <c:min val="0"/>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918843"/>
        <c:crosses val="autoZero"/>
        <c:crossBetween val="midCat"/>
        <c:dispUnits/>
        <c:majorUnit val="10"/>
      </c:valAx>
      <c:valAx>
        <c:axId val="16918843"/>
        <c:scaling>
          <c:orientation val="minMax"/>
          <c:max val="0.5"/>
          <c:min val="-0.30000000000000004"/>
        </c:scaling>
        <c:axPos val="l"/>
        <c:majorGridlines>
          <c:spPr>
            <a:ln w="3175">
              <a:solidFill>
                <a:srgbClr val="969696"/>
              </a:solidFill>
              <a:prstDash val="dash"/>
            </a:ln>
          </c:spPr>
        </c:majorGridlines>
        <c:delete val="0"/>
        <c:numFmt formatCode="#,##0.00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6619114"/>
        <c:crosses val="autoZero"/>
        <c:crossBetween val="midCat"/>
        <c:dispUnits/>
        <c:majorUnit val="0.1"/>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565"/>
          <c:w val="0.8735"/>
          <c:h val="0.76875"/>
        </c:manualLayout>
      </c:layout>
      <c:barChart>
        <c:barDir val="col"/>
        <c:grouping val="clustered"/>
        <c:varyColors val="0"/>
        <c:ser>
          <c:idx val="0"/>
          <c:order val="0"/>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Grafik_Ertrag!$H$10:$H$21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8051860"/>
        <c:axId val="28249013"/>
      </c:barChart>
      <c:lineChart>
        <c:grouping val="standard"/>
        <c:varyColors val="0"/>
        <c:ser>
          <c:idx val="1"/>
          <c:order val="1"/>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FF0000"/>
              </a:solidFill>
              <a:ln>
                <a:solidFill>
                  <a:srgbClr val="800000"/>
                </a:solidFill>
              </a:ln>
            </c:spPr>
          </c:marker>
          <c:val>
            <c:numRef>
              <c:f>Grafik_Ertrag!$I$10:$I$21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FF00"/>
              </a:solidFill>
              <a:ln>
                <a:solidFill>
                  <a:srgbClr val="008000"/>
                </a:solidFill>
              </a:ln>
            </c:spPr>
          </c:marker>
          <c:val>
            <c:numRef>
              <c:f>Grafik_Ertrag!$J$10:$J$21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FF"/>
                </a:solidFill>
              </a:ln>
            </c:spPr>
          </c:marker>
          <c:val>
            <c:numRef>
              <c:f>Grafik_Ertrag!$K$10:$K$21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srgbClr val="000000"/>
              </a:solidFill>
            </a:ln>
          </c:spPr>
        </c:hiLowLines>
        <c:axId val="52914526"/>
        <c:axId val="6468687"/>
      </c:lineChart>
      <c:catAx>
        <c:axId val="18051860"/>
        <c:scaling>
          <c:orientation val="minMax"/>
        </c:scaling>
        <c:axPos val="b"/>
        <c:delete val="0"/>
        <c:numFmt formatCode="General" sourceLinked="1"/>
        <c:majorTickMark val="none"/>
        <c:minorTickMark val="none"/>
        <c:tickLblPos val="none"/>
        <c:spPr>
          <a:ln w="3175">
            <a:solidFill>
              <a:srgbClr val="808080"/>
            </a:solidFill>
          </a:ln>
        </c:spPr>
        <c:crossAx val="28249013"/>
        <c:crosses val="autoZero"/>
        <c:auto val="1"/>
        <c:lblOffset val="100"/>
        <c:tickLblSkip val="1"/>
        <c:noMultiLvlLbl val="0"/>
      </c:catAx>
      <c:valAx>
        <c:axId val="28249013"/>
        <c:scaling>
          <c:orientation val="minMax"/>
          <c:max val="9"/>
          <c:min val="0"/>
        </c:scaling>
        <c:axPos val="l"/>
        <c:majorGridlines>
          <c:spPr>
            <a:ln w="3175">
              <a:solidFill>
                <a:srgbClr val="808080"/>
              </a:solidFill>
              <a:prstDash val="dash"/>
            </a:ln>
          </c:spPr>
        </c:majorGridlines>
        <c:delete val="0"/>
        <c:numFmt formatCode="General" sourceLinked="1"/>
        <c:majorTickMark val="out"/>
        <c:minorTickMark val="none"/>
        <c:tickLblPos val="none"/>
        <c:spPr>
          <a:ln w="3175">
            <a:solidFill>
              <a:srgbClr val="808080"/>
            </a:solidFill>
          </a:ln>
        </c:spPr>
        <c:crossAx val="18051860"/>
        <c:crossesAt val="1"/>
        <c:crossBetween val="between"/>
        <c:dispUnits/>
        <c:majorUnit val="1"/>
      </c:valAx>
      <c:catAx>
        <c:axId val="52914526"/>
        <c:scaling>
          <c:orientation val="minMax"/>
        </c:scaling>
        <c:axPos val="b"/>
        <c:delete val="1"/>
        <c:majorTickMark val="out"/>
        <c:minorTickMark val="none"/>
        <c:tickLblPos val="nextTo"/>
        <c:crossAx val="6468687"/>
        <c:crosses val="autoZero"/>
        <c:auto val="1"/>
        <c:lblOffset val="100"/>
        <c:tickLblSkip val="1"/>
        <c:noMultiLvlLbl val="0"/>
      </c:catAx>
      <c:valAx>
        <c:axId val="6468687"/>
        <c:scaling>
          <c:orientation val="minMax"/>
          <c:max val="9"/>
          <c:min val="0"/>
        </c:scaling>
        <c:axPos val="l"/>
        <c:delete val="0"/>
        <c:numFmt formatCode="General" sourceLinked="1"/>
        <c:majorTickMark val="none"/>
        <c:minorTickMark val="none"/>
        <c:tickLblPos val="none"/>
        <c:spPr>
          <a:ln w="3175">
            <a:solidFill>
              <a:srgbClr val="808080"/>
            </a:solidFill>
          </a:ln>
        </c:spPr>
        <c:crossAx val="52914526"/>
        <c:crosses val="max"/>
        <c:crossBetween val="between"/>
        <c:dispUnits/>
        <c:majorUnit val="1"/>
      </c:valAx>
      <c:spPr>
        <a:gradFill rotWithShape="1">
          <a:gsLst>
            <a:gs pos="0">
              <a:srgbClr val="FFFF00"/>
            </a:gs>
            <a:gs pos="100000">
              <a:srgbClr val="FFFFFF"/>
            </a:gs>
          </a:gsLst>
          <a:lin ang="2700000" scaled="1"/>
        </a:gra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8275"/>
          <c:w val="0.8625"/>
          <c:h val="0.83725"/>
        </c:manualLayout>
      </c:layout>
      <c:scatterChart>
        <c:scatterStyle val="lineMarker"/>
        <c:varyColors val="0"/>
        <c:ser>
          <c:idx val="0"/>
          <c:order val="0"/>
          <c:tx>
            <c:strRef>
              <c:f>Grafik_Kosten!$B$34</c:f>
              <c:strCache>
                <c:ptCount val="1"/>
                <c:pt idx="0">
                  <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FF0000"/>
                </a:solidFill>
                <a:prstDash val="sysDot"/>
              </a:ln>
            </c:spPr>
            <c:marker>
              <c:symbol val="none"/>
            </c:marker>
          </c:dPt>
          <c:dPt>
            <c:idx val="13"/>
            <c:spPr>
              <a:ln w="25400">
                <a:solidFill>
                  <a:srgbClr val="FF0000"/>
                </a:solidFill>
                <a:prstDash val="sysDot"/>
              </a:ln>
            </c:spPr>
            <c:marker>
              <c:symbol val="circle"/>
              <c:size val="10"/>
              <c:spPr>
                <a:solidFill>
                  <a:srgbClr val="FFFF00"/>
                </a:solidFill>
                <a:ln>
                  <a:solidFill>
                    <a:srgbClr val="0000FF"/>
                  </a:solidFill>
                </a:ln>
              </c:spPr>
            </c:marker>
          </c:dPt>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Grafik_Kosten!$C$34:$Q$34</c:f>
              <c:numCache>
                <c:ptCount val="15"/>
                <c:pt idx="12">
                  <c:v>0</c:v>
                </c:pt>
                <c:pt idx="13">
                  <c:v>0</c:v>
                </c:pt>
                <c:pt idx="14">
                  <c:v>0</c:v>
                </c:pt>
              </c:numCache>
            </c:numRef>
          </c:yVal>
          <c:smooth val="0"/>
        </c:ser>
        <c:ser>
          <c:idx val="1"/>
          <c:order val="1"/>
          <c:tx>
            <c:strRef>
              <c:f>Grafik_Kosten!$B$35</c:f>
              <c:strCache>
                <c:ptCount val="1"/>
                <c:pt idx="0">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dLbl>
              <c:idx val="10"/>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dLbl>
              <c:idx val="11"/>
              <c:txPr>
                <a:bodyPr vert="horz" rot="-5400000" anchor="ctr"/>
                <a:lstStyle/>
                <a:p>
                  <a:pPr algn="ctr">
                    <a:defRPr lang="en-US" cap="none" sz="1100" b="1" i="1"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numFmt formatCode="#,##0.000" sourceLinked="0"/>
            <c:spPr>
              <a:solidFill>
                <a:srgbClr val="FFFFFF"/>
              </a:solidFill>
              <a:ln w="3175">
                <a:solidFill>
                  <a:srgbClr val="0000FF"/>
                </a:solidFill>
              </a:ln>
            </c:spPr>
            <c:txPr>
              <a:bodyPr vert="horz" rot="-5400000" anchor="ctr"/>
              <a:lstStyle/>
              <a:p>
                <a:pPr algn="ctr">
                  <a:defRPr lang="en-US" cap="none" sz="1100" b="0" i="0" u="none" baseline="0">
                    <a:solidFill>
                      <a:srgbClr val="000000"/>
                    </a:solidFill>
                    <a:latin typeface="Arial"/>
                    <a:ea typeface="Arial"/>
                    <a:cs typeface="Arial"/>
                  </a:defRPr>
                </a:pPr>
              </a:p>
            </c:txPr>
            <c:dLblPos val="t"/>
            <c:showLegendKey val="0"/>
            <c:showVal val="1"/>
            <c:showBubbleSize val="0"/>
            <c:showCatName val="0"/>
            <c:showSerName val="0"/>
            <c:showPercent val="0"/>
          </c:dLbls>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Grafik_Kosten!$C$35:$Q$35</c:f>
              <c:numCache>
                <c:ptCount val="15"/>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58218184"/>
        <c:axId val="54201609"/>
      </c:scatterChart>
      <c:valAx>
        <c:axId val="58218184"/>
        <c:scaling>
          <c:orientation val="minMax"/>
          <c:max val="100"/>
          <c:min val="0"/>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201609"/>
        <c:crosses val="autoZero"/>
        <c:crossBetween val="midCat"/>
        <c:dispUnits/>
        <c:majorUnit val="10"/>
      </c:valAx>
      <c:valAx>
        <c:axId val="54201609"/>
        <c:scaling>
          <c:orientation val="minMax"/>
          <c:max val="0.5"/>
          <c:min val="-0.30000000000000004"/>
        </c:scaling>
        <c:axPos val="l"/>
        <c:majorGridlines>
          <c:spPr>
            <a:ln w="3175">
              <a:solidFill>
                <a:srgbClr val="969696"/>
              </a:solidFill>
              <a:prstDash val="dash"/>
            </a:ln>
          </c:spPr>
        </c:majorGridlines>
        <c:delete val="0"/>
        <c:numFmt formatCode="#,##0.00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8218184"/>
        <c:crosses val="autoZero"/>
        <c:crossBetween val="midCat"/>
        <c:dispUnits/>
        <c:majorUnit val="0.1"/>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75"/>
          <c:y val="0.09325"/>
          <c:w val="0.88175"/>
          <c:h val="0.88425"/>
        </c:manualLayout>
      </c:layout>
      <c:barChart>
        <c:barDir val="col"/>
        <c:grouping val="clustered"/>
        <c:varyColors val="0"/>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Einstrahlung!$C$10:$C$32</c:f>
              <c:strCache/>
            </c:strRef>
          </c:cat>
          <c:val>
            <c:numRef>
              <c:f>Einstrahlung!$F$10:$F$32</c:f>
              <c:numCache/>
            </c:numRef>
          </c:val>
        </c:ser>
        <c:gapWidth val="20"/>
        <c:axId val="18052434"/>
        <c:axId val="28254179"/>
      </c:barChar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Einstrahlung!$C$10:$C$32</c:f>
              <c:strCache/>
            </c:strRef>
          </c:cat>
          <c:val>
            <c:numRef>
              <c:f>Einstrahlung!$D$10:$D$32</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Einstrahlung!$C$10:$C$32</c:f>
              <c:strCache/>
            </c:strRef>
          </c:cat>
          <c:val>
            <c:numRef>
              <c:f>Einstrahlung!$E$10:$E$32</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Einstrahlung!$C$10:$C$32</c:f>
              <c:strCache/>
            </c:strRef>
          </c:cat>
          <c:val>
            <c:numRef>
              <c:f>Einstrahlung!$G$10:$G$32</c:f>
              <c:numCache/>
            </c:numRef>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Einstrahlung!$C$10:$C$32</c:f>
              <c:strCache/>
            </c:strRef>
          </c:cat>
          <c:val>
            <c:numRef>
              <c:f>Einstrahlung!$H$10:$H$32</c:f>
              <c:numCache/>
            </c:numRef>
          </c:val>
          <c:smooth val="0"/>
        </c:ser>
        <c:axId val="18052434"/>
        <c:axId val="28254179"/>
      </c:lineChart>
      <c:catAx>
        <c:axId val="1805243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defRPr>
            </a:pPr>
          </a:p>
        </c:txPr>
        <c:crossAx val="28254179"/>
        <c:crosses val="autoZero"/>
        <c:auto val="1"/>
        <c:lblOffset val="100"/>
        <c:tickLblSkip val="2"/>
        <c:noMultiLvlLbl val="0"/>
      </c:catAx>
      <c:valAx>
        <c:axId val="28254179"/>
        <c:scaling>
          <c:orientation val="minMax"/>
        </c:scaling>
        <c:axPos val="l"/>
        <c:title>
          <c:tx>
            <c:rich>
              <a:bodyPr vert="horz" rot="0" anchor="ctr"/>
              <a:lstStyle/>
              <a:p>
                <a:pPr algn="l">
                  <a:defRPr/>
                </a:pPr>
                <a:r>
                  <a:rPr lang="en-US" cap="none" sz="925" b="1" i="0" u="none" baseline="0">
                    <a:solidFill>
                      <a:srgbClr val="000000"/>
                    </a:solidFill>
                  </a:rPr>
                  <a:t>kWh /
m², Tag</a:t>
                </a:r>
              </a:p>
            </c:rich>
          </c:tx>
          <c:layout>
            <c:manualLayout>
              <c:xMode val="factor"/>
              <c:yMode val="factor"/>
              <c:x val="0.03125"/>
              <c:y val="0.149"/>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052434"/>
        <c:crossesAt val="1"/>
        <c:crossBetween val="between"/>
        <c:dispUnits/>
      </c:valAx>
      <c:spPr>
        <a:gradFill rotWithShape="1">
          <a:gsLst>
            <a:gs pos="0">
              <a:srgbClr val="0F0000"/>
            </a:gs>
            <a:gs pos="100000">
              <a:srgbClr val="FFFFFF"/>
            </a:gs>
          </a:gsLst>
          <a:lin ang="2700000" scaled="1"/>
        </a:grad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16</xdr:row>
      <xdr:rowOff>0</xdr:rowOff>
    </xdr:from>
    <xdr:to>
      <xdr:col>37</xdr:col>
      <xdr:colOff>0</xdr:colOff>
      <xdr:row>40</xdr:row>
      <xdr:rowOff>0</xdr:rowOff>
    </xdr:to>
    <xdr:graphicFrame>
      <xdr:nvGraphicFramePr>
        <xdr:cNvPr id="1" name="Diagramm 1"/>
        <xdr:cNvGraphicFramePr/>
      </xdr:nvGraphicFramePr>
      <xdr:xfrm>
        <a:off x="5962650" y="1238250"/>
        <a:ext cx="5362575" cy="2057400"/>
      </xdr:xfrm>
      <a:graphic>
        <a:graphicData uri="http://schemas.openxmlformats.org/drawingml/2006/chart">
          <c:chart xmlns:c="http://schemas.openxmlformats.org/drawingml/2006/chart" r:id="rId1"/>
        </a:graphicData>
      </a:graphic>
    </xdr:graphicFrame>
    <xdr:clientData/>
  </xdr:twoCellAnchor>
  <xdr:twoCellAnchor>
    <xdr:from>
      <xdr:col>24</xdr:col>
      <xdr:colOff>85725</xdr:colOff>
      <xdr:row>18</xdr:row>
      <xdr:rowOff>28575</xdr:rowOff>
    </xdr:from>
    <xdr:to>
      <xdr:col>25</xdr:col>
      <xdr:colOff>285750</xdr:colOff>
      <xdr:row>24</xdr:row>
      <xdr:rowOff>76200</xdr:rowOff>
    </xdr:to>
    <xdr:grpSp>
      <xdr:nvGrpSpPr>
        <xdr:cNvPr id="2" name="Group 10"/>
        <xdr:cNvGrpSpPr>
          <a:grpSpLocks/>
        </xdr:cNvGrpSpPr>
      </xdr:nvGrpSpPr>
      <xdr:grpSpPr>
        <a:xfrm>
          <a:off x="6657975" y="1438275"/>
          <a:ext cx="581025" cy="561975"/>
          <a:chOff x="618" y="84"/>
          <a:chExt cx="74" cy="75"/>
        </a:xfrm>
        <a:solidFill>
          <a:srgbClr val="FFFFFF"/>
        </a:solidFill>
      </xdr:grpSpPr>
      <xdr:sp>
        <xdr:nvSpPr>
          <xdr:cNvPr id="3" name="Line 8"/>
          <xdr:cNvSpPr>
            <a:spLocks/>
          </xdr:cNvSpPr>
        </xdr:nvSpPr>
        <xdr:spPr>
          <a:xfrm>
            <a:off x="630" y="124"/>
            <a:ext cx="0" cy="3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638" y="122"/>
            <a:ext cx="16" cy="3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6"/>
          <xdr:cNvSpPr>
            <a:spLocks/>
          </xdr:cNvSpPr>
        </xdr:nvSpPr>
        <xdr:spPr>
          <a:xfrm>
            <a:off x="647" y="119"/>
            <a:ext cx="33" cy="39"/>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7"/>
          <xdr:cNvSpPr>
            <a:spLocks/>
          </xdr:cNvSpPr>
        </xdr:nvSpPr>
        <xdr:spPr>
          <a:xfrm>
            <a:off x="656" y="113"/>
            <a:ext cx="34" cy="2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9"/>
          <xdr:cNvSpPr>
            <a:spLocks/>
          </xdr:cNvSpPr>
        </xdr:nvSpPr>
        <xdr:spPr>
          <a:xfrm>
            <a:off x="658" y="103"/>
            <a:ext cx="34" cy="1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3"/>
          <xdr:cNvSpPr>
            <a:spLocks/>
          </xdr:cNvSpPr>
        </xdr:nvSpPr>
        <xdr:spPr>
          <a:xfrm>
            <a:off x="618" y="84"/>
            <a:ext cx="34" cy="34"/>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xdr:colOff>
      <xdr:row>40</xdr:row>
      <xdr:rowOff>47625</xdr:rowOff>
    </xdr:from>
    <xdr:to>
      <xdr:col>22</xdr:col>
      <xdr:colOff>76200</xdr:colOff>
      <xdr:row>44</xdr:row>
      <xdr:rowOff>104775</xdr:rowOff>
    </xdr:to>
    <xdr:grpSp>
      <xdr:nvGrpSpPr>
        <xdr:cNvPr id="9" name="Gruppieren 8"/>
        <xdr:cNvGrpSpPr>
          <a:grpSpLocks/>
        </xdr:cNvGrpSpPr>
      </xdr:nvGrpSpPr>
      <xdr:grpSpPr>
        <a:xfrm>
          <a:off x="6000750" y="3343275"/>
          <a:ext cx="152400" cy="400050"/>
          <a:chOff x="7553325" y="4953000"/>
          <a:chExt cx="152400" cy="428625"/>
        </a:xfrm>
        <a:solidFill>
          <a:srgbClr val="FFFFFF"/>
        </a:solidFill>
      </xdr:grpSpPr>
      <xdr:sp>
        <xdr:nvSpPr>
          <xdr:cNvPr id="10" name="Gerade Verbindung 5"/>
          <xdr:cNvSpPr>
            <a:spLocks/>
          </xdr:cNvSpPr>
        </xdr:nvSpPr>
        <xdr:spPr>
          <a:xfrm>
            <a:off x="7629525" y="4953000"/>
            <a:ext cx="0" cy="4186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Ellipse 1"/>
          <xdr:cNvSpPr>
            <a:spLocks/>
          </xdr:cNvSpPr>
        </xdr:nvSpPr>
        <xdr:spPr>
          <a:xfrm>
            <a:off x="7572375" y="5102483"/>
            <a:ext cx="123825" cy="129552"/>
          </a:xfrm>
          <a:prstGeom prst="ellipse">
            <a:avLst/>
          </a:prstGeom>
          <a:solidFill>
            <a:srgbClr val="FFFF00"/>
          </a:solid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hteck 6"/>
          <xdr:cNvSpPr>
            <a:spLocks/>
          </xdr:cNvSpPr>
        </xdr:nvSpPr>
        <xdr:spPr>
          <a:xfrm>
            <a:off x="7553325" y="4953000"/>
            <a:ext cx="152400" cy="49828"/>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hteck 19"/>
          <xdr:cNvSpPr>
            <a:spLocks/>
          </xdr:cNvSpPr>
        </xdr:nvSpPr>
        <xdr:spPr>
          <a:xfrm>
            <a:off x="7553325" y="5331797"/>
            <a:ext cx="152400" cy="49828"/>
          </a:xfrm>
          <a:prstGeom prst="rect">
            <a:avLst/>
          </a:prstGeom>
          <a:solidFill>
            <a:srgbClr val="FF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90</xdr:col>
      <xdr:colOff>0</xdr:colOff>
      <xdr:row>26</xdr:row>
      <xdr:rowOff>0</xdr:rowOff>
    </xdr:from>
    <xdr:to>
      <xdr:col>106</xdr:col>
      <xdr:colOff>0</xdr:colOff>
      <xdr:row>52</xdr:row>
      <xdr:rowOff>0</xdr:rowOff>
    </xdr:to>
    <xdr:graphicFrame>
      <xdr:nvGraphicFramePr>
        <xdr:cNvPr id="14" name="Diagramm 40"/>
        <xdr:cNvGraphicFramePr/>
      </xdr:nvGraphicFramePr>
      <xdr:xfrm>
        <a:off x="34175700" y="2095500"/>
        <a:ext cx="5429250" cy="2228850"/>
      </xdr:xfrm>
      <a:graphic>
        <a:graphicData uri="http://schemas.openxmlformats.org/drawingml/2006/chart">
          <c:chart xmlns:c="http://schemas.openxmlformats.org/drawingml/2006/chart" r:id="rId2"/>
        </a:graphicData>
      </a:graphic>
    </xdr:graphicFrame>
    <xdr:clientData/>
  </xdr:twoCellAnchor>
  <xdr:twoCellAnchor>
    <xdr:from>
      <xdr:col>49</xdr:col>
      <xdr:colOff>276225</xdr:colOff>
      <xdr:row>56</xdr:row>
      <xdr:rowOff>123825</xdr:rowOff>
    </xdr:from>
    <xdr:to>
      <xdr:col>50</xdr:col>
      <xdr:colOff>38100</xdr:colOff>
      <xdr:row>59</xdr:row>
      <xdr:rowOff>28575</xdr:rowOff>
    </xdr:to>
    <xdr:sp>
      <xdr:nvSpPr>
        <xdr:cNvPr id="15" name="Ellipse 28"/>
        <xdr:cNvSpPr>
          <a:spLocks/>
        </xdr:cNvSpPr>
      </xdr:nvSpPr>
      <xdr:spPr>
        <a:xfrm>
          <a:off x="17125950" y="4791075"/>
          <a:ext cx="209550"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2</a:t>
          </a:r>
        </a:p>
      </xdr:txBody>
    </xdr:sp>
    <xdr:clientData fPrintsWithSheet="0"/>
  </xdr:twoCellAnchor>
  <xdr:twoCellAnchor>
    <xdr:from>
      <xdr:col>13</xdr:col>
      <xdr:colOff>247650</xdr:colOff>
      <xdr:row>44</xdr:row>
      <xdr:rowOff>123825</xdr:rowOff>
    </xdr:from>
    <xdr:to>
      <xdr:col>14</xdr:col>
      <xdr:colOff>85725</xdr:colOff>
      <xdr:row>48</xdr:row>
      <xdr:rowOff>9525</xdr:rowOff>
    </xdr:to>
    <xdr:sp>
      <xdr:nvSpPr>
        <xdr:cNvPr id="16" name="Ellipse 33"/>
        <xdr:cNvSpPr>
          <a:spLocks/>
        </xdr:cNvSpPr>
      </xdr:nvSpPr>
      <xdr:spPr>
        <a:xfrm>
          <a:off x="3562350" y="3762375"/>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2</a:t>
          </a:r>
        </a:p>
      </xdr:txBody>
    </xdr:sp>
    <xdr:clientData fPrintsWithSheet="0"/>
  </xdr:twoCellAnchor>
  <xdr:twoCellAnchor>
    <xdr:from>
      <xdr:col>13</xdr:col>
      <xdr:colOff>247650</xdr:colOff>
      <xdr:row>59</xdr:row>
      <xdr:rowOff>9525</xdr:rowOff>
    </xdr:from>
    <xdr:to>
      <xdr:col>14</xdr:col>
      <xdr:colOff>85725</xdr:colOff>
      <xdr:row>62</xdr:row>
      <xdr:rowOff>19050</xdr:rowOff>
    </xdr:to>
    <xdr:sp>
      <xdr:nvSpPr>
        <xdr:cNvPr id="17" name="Ellipse 34"/>
        <xdr:cNvSpPr>
          <a:spLocks/>
        </xdr:cNvSpPr>
      </xdr:nvSpPr>
      <xdr:spPr>
        <a:xfrm>
          <a:off x="3562350" y="4991100"/>
          <a:ext cx="219075" cy="20955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3</a:t>
          </a:r>
        </a:p>
      </xdr:txBody>
    </xdr:sp>
    <xdr:clientData fPrintsWithSheet="0"/>
  </xdr:twoCellAnchor>
  <xdr:twoCellAnchor>
    <xdr:from>
      <xdr:col>66</xdr:col>
      <xdr:colOff>28575</xdr:colOff>
      <xdr:row>20</xdr:row>
      <xdr:rowOff>66675</xdr:rowOff>
    </xdr:from>
    <xdr:to>
      <xdr:col>66</xdr:col>
      <xdr:colOff>238125</xdr:colOff>
      <xdr:row>22</xdr:row>
      <xdr:rowOff>123825</xdr:rowOff>
    </xdr:to>
    <xdr:sp>
      <xdr:nvSpPr>
        <xdr:cNvPr id="18" name="Ellipse 35"/>
        <xdr:cNvSpPr>
          <a:spLocks/>
        </xdr:cNvSpPr>
      </xdr:nvSpPr>
      <xdr:spPr>
        <a:xfrm>
          <a:off x="24003000" y="1647825"/>
          <a:ext cx="209550"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3</a:t>
          </a:r>
        </a:p>
      </xdr:txBody>
    </xdr:sp>
    <xdr:clientData fPrintsWithSheet="0"/>
  </xdr:twoCellAnchor>
  <xdr:twoCellAnchor>
    <xdr:from>
      <xdr:col>13</xdr:col>
      <xdr:colOff>247650</xdr:colOff>
      <xdr:row>26</xdr:row>
      <xdr:rowOff>123825</xdr:rowOff>
    </xdr:from>
    <xdr:to>
      <xdr:col>14</xdr:col>
      <xdr:colOff>85725</xdr:colOff>
      <xdr:row>30</xdr:row>
      <xdr:rowOff>9525</xdr:rowOff>
    </xdr:to>
    <xdr:sp>
      <xdr:nvSpPr>
        <xdr:cNvPr id="19" name="Ellipse 36"/>
        <xdr:cNvSpPr>
          <a:spLocks/>
        </xdr:cNvSpPr>
      </xdr:nvSpPr>
      <xdr:spPr>
        <a:xfrm>
          <a:off x="3562350" y="2219325"/>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1</a:t>
          </a:r>
        </a:p>
      </xdr:txBody>
    </xdr:sp>
    <xdr:clientData fPrintsWithSheet="0"/>
  </xdr:twoCellAnchor>
  <xdr:twoCellAnchor>
    <xdr:from>
      <xdr:col>49</xdr:col>
      <xdr:colOff>276225</xdr:colOff>
      <xdr:row>40</xdr:row>
      <xdr:rowOff>123825</xdr:rowOff>
    </xdr:from>
    <xdr:to>
      <xdr:col>50</xdr:col>
      <xdr:colOff>38100</xdr:colOff>
      <xdr:row>44</xdr:row>
      <xdr:rowOff>0</xdr:rowOff>
    </xdr:to>
    <xdr:sp>
      <xdr:nvSpPr>
        <xdr:cNvPr id="20" name="Ellipse 37"/>
        <xdr:cNvSpPr>
          <a:spLocks/>
        </xdr:cNvSpPr>
      </xdr:nvSpPr>
      <xdr:spPr>
        <a:xfrm>
          <a:off x="17125950" y="3419475"/>
          <a:ext cx="209550"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1</a:t>
          </a:r>
        </a:p>
      </xdr:txBody>
    </xdr:sp>
    <xdr:clientData fPrintsWithSheet="0"/>
  </xdr:twoCellAnchor>
  <xdr:twoCellAnchor>
    <xdr:from>
      <xdr:col>15</xdr:col>
      <xdr:colOff>171450</xdr:colOff>
      <xdr:row>70</xdr:row>
      <xdr:rowOff>133350</xdr:rowOff>
    </xdr:from>
    <xdr:to>
      <xdr:col>16</xdr:col>
      <xdr:colOff>9525</xdr:colOff>
      <xdr:row>74</xdr:row>
      <xdr:rowOff>9525</xdr:rowOff>
    </xdr:to>
    <xdr:sp>
      <xdr:nvSpPr>
        <xdr:cNvPr id="21" name="Ellipse 39"/>
        <xdr:cNvSpPr>
          <a:spLocks/>
        </xdr:cNvSpPr>
      </xdr:nvSpPr>
      <xdr:spPr>
        <a:xfrm>
          <a:off x="4248150" y="6000750"/>
          <a:ext cx="219075"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4</a:t>
          </a:r>
        </a:p>
      </xdr:txBody>
    </xdr:sp>
    <xdr:clientData fPrintsWithSheet="0"/>
  </xdr:twoCellAnchor>
  <xdr:twoCellAnchor>
    <xdr:from>
      <xdr:col>62</xdr:col>
      <xdr:colOff>352425</xdr:colOff>
      <xdr:row>46</xdr:row>
      <xdr:rowOff>133350</xdr:rowOff>
    </xdr:from>
    <xdr:to>
      <xdr:col>63</xdr:col>
      <xdr:colOff>123825</xdr:colOff>
      <xdr:row>50</xdr:row>
      <xdr:rowOff>19050</xdr:rowOff>
    </xdr:to>
    <xdr:sp>
      <xdr:nvSpPr>
        <xdr:cNvPr id="22" name="Ellipse 40"/>
        <xdr:cNvSpPr>
          <a:spLocks/>
        </xdr:cNvSpPr>
      </xdr:nvSpPr>
      <xdr:spPr>
        <a:xfrm>
          <a:off x="22631400" y="3943350"/>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4</a:t>
          </a:r>
        </a:p>
      </xdr:txBody>
    </xdr:sp>
    <xdr:clientData fPrintsWithSheet="0"/>
  </xdr:twoCellAnchor>
  <xdr:twoCellAnchor>
    <xdr:from>
      <xdr:col>0</xdr:col>
      <xdr:colOff>66675</xdr:colOff>
      <xdr:row>78</xdr:row>
      <xdr:rowOff>28575</xdr:rowOff>
    </xdr:from>
    <xdr:to>
      <xdr:col>3</xdr:col>
      <xdr:colOff>38100</xdr:colOff>
      <xdr:row>82</xdr:row>
      <xdr:rowOff>9525</xdr:rowOff>
    </xdr:to>
    <xdr:sp>
      <xdr:nvSpPr>
        <xdr:cNvPr id="23" name="Gleichschenkliges Dreieck 41"/>
        <xdr:cNvSpPr>
          <a:spLocks/>
        </xdr:cNvSpPr>
      </xdr:nvSpPr>
      <xdr:spPr>
        <a:xfrm>
          <a:off x="66675" y="6581775"/>
          <a:ext cx="657225" cy="32385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14</xdr:row>
      <xdr:rowOff>38100</xdr:rowOff>
    </xdr:from>
    <xdr:to>
      <xdr:col>3</xdr:col>
      <xdr:colOff>38100</xdr:colOff>
      <xdr:row>17</xdr:row>
      <xdr:rowOff>28575</xdr:rowOff>
    </xdr:to>
    <xdr:sp>
      <xdr:nvSpPr>
        <xdr:cNvPr id="24" name="Gleichschenkliges Dreieck 42"/>
        <xdr:cNvSpPr>
          <a:spLocks/>
        </xdr:cNvSpPr>
      </xdr:nvSpPr>
      <xdr:spPr>
        <a:xfrm flipV="1">
          <a:off x="66675" y="1104900"/>
          <a:ext cx="657225"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133</xdr:row>
      <xdr:rowOff>0</xdr:rowOff>
    </xdr:from>
    <xdr:ext cx="76200" cy="200025"/>
    <xdr:sp fLocksText="0">
      <xdr:nvSpPr>
        <xdr:cNvPr id="1" name="Text Box 3"/>
        <xdr:cNvSpPr txBox="1">
          <a:spLocks noChangeArrowheads="1"/>
        </xdr:cNvSpPr>
      </xdr:nvSpPr>
      <xdr:spPr>
        <a:xfrm>
          <a:off x="2971800" y="1926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9525</xdr:rowOff>
    </xdr:from>
    <xdr:to>
      <xdr:col>3</xdr:col>
      <xdr:colOff>47625</xdr:colOff>
      <xdr:row>67</xdr:row>
      <xdr:rowOff>114300</xdr:rowOff>
    </xdr:to>
    <xdr:sp>
      <xdr:nvSpPr>
        <xdr:cNvPr id="1" name="Gleichschenkliges Dreieck 1"/>
        <xdr:cNvSpPr>
          <a:spLocks/>
        </xdr:cNvSpPr>
      </xdr:nvSpPr>
      <xdr:spPr>
        <a:xfrm>
          <a:off x="66675" y="6562725"/>
          <a:ext cx="666750"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xdr:row>
      <xdr:rowOff>228600</xdr:rowOff>
    </xdr:from>
    <xdr:to>
      <xdr:col>3</xdr:col>
      <xdr:colOff>47625</xdr:colOff>
      <xdr:row>10</xdr:row>
      <xdr:rowOff>219075</xdr:rowOff>
    </xdr:to>
    <xdr:sp>
      <xdr:nvSpPr>
        <xdr:cNvPr id="2" name="Gleichschenkliges Dreieck 2"/>
        <xdr:cNvSpPr>
          <a:spLocks/>
        </xdr:cNvSpPr>
      </xdr:nvSpPr>
      <xdr:spPr>
        <a:xfrm flipV="1">
          <a:off x="66675" y="1095375"/>
          <a:ext cx="666750"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27</xdr:row>
      <xdr:rowOff>0</xdr:rowOff>
    </xdr:from>
    <xdr:to>
      <xdr:col>39</xdr:col>
      <xdr:colOff>0</xdr:colOff>
      <xdr:row>51</xdr:row>
      <xdr:rowOff>0</xdr:rowOff>
    </xdr:to>
    <xdr:graphicFrame>
      <xdr:nvGraphicFramePr>
        <xdr:cNvPr id="3" name="Diagramm 1"/>
        <xdr:cNvGraphicFramePr/>
      </xdr:nvGraphicFramePr>
      <xdr:xfrm>
        <a:off x="5724525" y="3324225"/>
        <a:ext cx="5295900" cy="2057400"/>
      </xdr:xfrm>
      <a:graphic>
        <a:graphicData uri="http://schemas.openxmlformats.org/drawingml/2006/chart">
          <c:chart xmlns:c="http://schemas.openxmlformats.org/drawingml/2006/chart" r:id="rId1"/>
        </a:graphicData>
      </a:graphic>
    </xdr:graphicFrame>
    <xdr:clientData/>
  </xdr:twoCellAnchor>
  <xdr:twoCellAnchor>
    <xdr:from>
      <xdr:col>26</xdr:col>
      <xdr:colOff>85725</xdr:colOff>
      <xdr:row>29</xdr:row>
      <xdr:rowOff>28575</xdr:rowOff>
    </xdr:from>
    <xdr:to>
      <xdr:col>27</xdr:col>
      <xdr:colOff>285750</xdr:colOff>
      <xdr:row>35</xdr:row>
      <xdr:rowOff>76200</xdr:rowOff>
    </xdr:to>
    <xdr:grpSp>
      <xdr:nvGrpSpPr>
        <xdr:cNvPr id="4" name="Group 10"/>
        <xdr:cNvGrpSpPr>
          <a:grpSpLocks/>
        </xdr:cNvGrpSpPr>
      </xdr:nvGrpSpPr>
      <xdr:grpSpPr>
        <a:xfrm>
          <a:off x="6419850" y="3524250"/>
          <a:ext cx="581025" cy="561975"/>
          <a:chOff x="618" y="84"/>
          <a:chExt cx="74" cy="75"/>
        </a:xfrm>
        <a:solidFill>
          <a:srgbClr val="FFFFFF"/>
        </a:solidFill>
      </xdr:grpSpPr>
      <xdr:sp>
        <xdr:nvSpPr>
          <xdr:cNvPr id="5" name="Line 8"/>
          <xdr:cNvSpPr>
            <a:spLocks/>
          </xdr:cNvSpPr>
        </xdr:nvSpPr>
        <xdr:spPr>
          <a:xfrm>
            <a:off x="630" y="124"/>
            <a:ext cx="0" cy="3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a:off x="638" y="122"/>
            <a:ext cx="16" cy="3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647" y="119"/>
            <a:ext cx="33" cy="39"/>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656" y="113"/>
            <a:ext cx="34" cy="2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58" y="103"/>
            <a:ext cx="34" cy="1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3"/>
          <xdr:cNvSpPr>
            <a:spLocks/>
          </xdr:cNvSpPr>
        </xdr:nvSpPr>
        <xdr:spPr>
          <a:xfrm>
            <a:off x="618" y="84"/>
            <a:ext cx="34" cy="34"/>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38100</xdr:colOff>
      <xdr:row>51</xdr:row>
      <xdr:rowOff>47625</xdr:rowOff>
    </xdr:from>
    <xdr:to>
      <xdr:col>24</xdr:col>
      <xdr:colOff>76200</xdr:colOff>
      <xdr:row>55</xdr:row>
      <xdr:rowOff>104775</xdr:rowOff>
    </xdr:to>
    <xdr:grpSp>
      <xdr:nvGrpSpPr>
        <xdr:cNvPr id="11" name="Gruppieren 8"/>
        <xdr:cNvGrpSpPr>
          <a:grpSpLocks/>
        </xdr:cNvGrpSpPr>
      </xdr:nvGrpSpPr>
      <xdr:grpSpPr>
        <a:xfrm>
          <a:off x="5762625" y="5429250"/>
          <a:ext cx="152400" cy="400050"/>
          <a:chOff x="7553325" y="4953000"/>
          <a:chExt cx="152400" cy="428625"/>
        </a:xfrm>
        <a:solidFill>
          <a:srgbClr val="FFFFFF"/>
        </a:solidFill>
      </xdr:grpSpPr>
      <xdr:sp>
        <xdr:nvSpPr>
          <xdr:cNvPr id="12" name="Gerade Verbindung 12"/>
          <xdr:cNvSpPr>
            <a:spLocks/>
          </xdr:cNvSpPr>
        </xdr:nvSpPr>
        <xdr:spPr>
          <a:xfrm>
            <a:off x="7629525" y="4953000"/>
            <a:ext cx="0" cy="4186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Ellipse 13"/>
          <xdr:cNvSpPr>
            <a:spLocks/>
          </xdr:cNvSpPr>
        </xdr:nvSpPr>
        <xdr:spPr>
          <a:xfrm>
            <a:off x="7572375" y="5102483"/>
            <a:ext cx="123825" cy="129552"/>
          </a:xfrm>
          <a:prstGeom prst="ellipse">
            <a:avLst/>
          </a:prstGeom>
          <a:solidFill>
            <a:srgbClr val="FFFF00"/>
          </a:solid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hteck 14"/>
          <xdr:cNvSpPr>
            <a:spLocks/>
          </xdr:cNvSpPr>
        </xdr:nvSpPr>
        <xdr:spPr>
          <a:xfrm>
            <a:off x="7553325" y="4953000"/>
            <a:ext cx="152400" cy="49828"/>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hteck 15"/>
          <xdr:cNvSpPr>
            <a:spLocks/>
          </xdr:cNvSpPr>
        </xdr:nvSpPr>
        <xdr:spPr>
          <a:xfrm>
            <a:off x="7553325" y="5331797"/>
            <a:ext cx="152400" cy="49828"/>
          </a:xfrm>
          <a:prstGeom prst="rect">
            <a:avLst/>
          </a:prstGeom>
          <a:solidFill>
            <a:srgbClr val="FF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0</xdr:colOff>
      <xdr:row>104</xdr:row>
      <xdr:rowOff>9525</xdr:rowOff>
    </xdr:from>
    <xdr:to>
      <xdr:col>39</xdr:col>
      <xdr:colOff>28575</xdr:colOff>
      <xdr:row>134</xdr:row>
      <xdr:rowOff>0</xdr:rowOff>
    </xdr:to>
    <xdr:graphicFrame>
      <xdr:nvGraphicFramePr>
        <xdr:cNvPr id="16" name="Diagramm 40"/>
        <xdr:cNvGraphicFramePr/>
      </xdr:nvGraphicFramePr>
      <xdr:xfrm>
        <a:off x="5724525" y="9991725"/>
        <a:ext cx="5324475" cy="2562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161925</xdr:rowOff>
    </xdr:from>
    <xdr:to>
      <xdr:col>16</xdr:col>
      <xdr:colOff>742950</xdr:colOff>
      <xdr:row>11</xdr:row>
      <xdr:rowOff>171450</xdr:rowOff>
    </xdr:to>
    <xdr:pic>
      <xdr:nvPicPr>
        <xdr:cNvPr id="1" name="Grafik 1"/>
        <xdr:cNvPicPr preferRelativeResize="1">
          <a:picLocks noChangeAspect="1"/>
        </xdr:cNvPicPr>
      </xdr:nvPicPr>
      <xdr:blipFill>
        <a:blip r:embed="rId1"/>
        <a:stretch>
          <a:fillRect/>
        </a:stretch>
      </xdr:blipFill>
      <xdr:spPr>
        <a:xfrm>
          <a:off x="7820025" y="552450"/>
          <a:ext cx="5429250" cy="1657350"/>
        </a:xfrm>
        <a:prstGeom prst="rect">
          <a:avLst/>
        </a:prstGeom>
        <a:noFill/>
        <a:ln w="9525" cmpd="sng">
          <a:noFill/>
        </a:ln>
      </xdr:spPr>
    </xdr:pic>
    <xdr:clientData/>
  </xdr:twoCellAnchor>
  <xdr:twoCellAnchor editAs="oneCell">
    <xdr:from>
      <xdr:col>10</xdr:col>
      <xdr:colOff>0</xdr:colOff>
      <xdr:row>16</xdr:row>
      <xdr:rowOff>123825</xdr:rowOff>
    </xdr:from>
    <xdr:to>
      <xdr:col>18</xdr:col>
      <xdr:colOff>619125</xdr:colOff>
      <xdr:row>49</xdr:row>
      <xdr:rowOff>47625</xdr:rowOff>
    </xdr:to>
    <xdr:pic>
      <xdr:nvPicPr>
        <xdr:cNvPr id="2" name="Grafik 4"/>
        <xdr:cNvPicPr preferRelativeResize="1">
          <a:picLocks noChangeAspect="1"/>
        </xdr:cNvPicPr>
      </xdr:nvPicPr>
      <xdr:blipFill>
        <a:blip r:embed="rId2"/>
        <a:stretch>
          <a:fillRect/>
        </a:stretch>
      </xdr:blipFill>
      <xdr:spPr>
        <a:xfrm>
          <a:off x="7820025" y="3076575"/>
          <a:ext cx="6724650" cy="6181725"/>
        </a:xfrm>
        <a:prstGeom prst="rect">
          <a:avLst/>
        </a:prstGeom>
        <a:solidFill>
          <a:srgbClr val="F2F2F2"/>
        </a:solidFill>
        <a:ln w="9525" cmpd="sng">
          <a:noFill/>
        </a:ln>
      </xdr:spPr>
    </xdr:pic>
    <xdr:clientData/>
  </xdr:twoCellAnchor>
  <xdr:twoCellAnchor>
    <xdr:from>
      <xdr:col>10</xdr:col>
      <xdr:colOff>38100</xdr:colOff>
      <xdr:row>34</xdr:row>
      <xdr:rowOff>123825</xdr:rowOff>
    </xdr:from>
    <xdr:to>
      <xdr:col>18</xdr:col>
      <xdr:colOff>419100</xdr:colOff>
      <xdr:row>50</xdr:row>
      <xdr:rowOff>133350</xdr:rowOff>
    </xdr:to>
    <xdr:sp>
      <xdr:nvSpPr>
        <xdr:cNvPr id="3" name="Abgerundetes Rechteck 2"/>
        <xdr:cNvSpPr>
          <a:spLocks/>
        </xdr:cNvSpPr>
      </xdr:nvSpPr>
      <xdr:spPr>
        <a:xfrm>
          <a:off x="7858125" y="6524625"/>
          <a:ext cx="6486525" cy="3009900"/>
        </a:xfrm>
        <a:prstGeom prst="roundRect">
          <a:avLst/>
        </a:prstGeom>
        <a:noFill/>
        <a:ln w="63500"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600075</xdr:colOff>
      <xdr:row>49</xdr:row>
      <xdr:rowOff>152400</xdr:rowOff>
    </xdr:from>
    <xdr:ext cx="5953125" cy="1066800"/>
    <xdr:sp>
      <xdr:nvSpPr>
        <xdr:cNvPr id="4" name="Textfeld 4"/>
        <xdr:cNvSpPr txBox="1">
          <a:spLocks noChangeArrowheads="1"/>
        </xdr:cNvSpPr>
      </xdr:nvSpPr>
      <xdr:spPr>
        <a:xfrm>
          <a:off x="8420100" y="9363075"/>
          <a:ext cx="5953125" cy="1066800"/>
        </a:xfrm>
        <a:prstGeom prst="rect">
          <a:avLst/>
        </a:prstGeom>
        <a:solidFill>
          <a:srgbClr val="FFFFFF"/>
        </a:solidFill>
        <a:ln w="63500" cmpd="sng">
          <a:solidFill>
            <a:srgbClr val="00FF00"/>
          </a:solidFill>
          <a:headEnd type="none"/>
          <a:tailEnd type="none"/>
        </a:ln>
      </xdr:spPr>
      <xdr:txBody>
        <a:bodyPr vertOverflow="clip" wrap="square">
          <a:spAutoFit/>
        </a:bodyPr>
        <a:p>
          <a:pPr algn="ctr">
            <a:defRPr/>
          </a:pPr>
          <a:r>
            <a:rPr lang="en-US" cap="none" sz="2000" b="0" i="0" u="none" baseline="0">
              <a:solidFill>
                <a:srgbClr val="008000"/>
              </a:solidFill>
              <a:latin typeface="Calibri"/>
              <a:ea typeface="Calibri"/>
              <a:cs typeface="Calibri"/>
            </a:rPr>
            <a:t>Mit dem PV-Rechner können derzeit </a:t>
          </a:r>
          <a:r>
            <a:rPr lang="en-US" cap="none" sz="2000" b="0" i="0" u="none" baseline="0">
              <a:solidFill>
                <a:srgbClr val="008000"/>
              </a:solidFill>
              <a:latin typeface="Calibri"/>
              <a:ea typeface="Calibri"/>
              <a:cs typeface="Calibri"/>
            </a:rPr>
            <a:t> "kleine </a:t>
          </a:r>
          <a:r>
            <a:rPr lang="en-US" cap="none" sz="2000" b="0" i="0" u="none" baseline="0">
              <a:solidFill>
                <a:srgbClr val="008000"/>
              </a:solidFill>
              <a:latin typeface="Calibri"/>
              <a:ea typeface="Calibri"/>
              <a:cs typeface="Calibri"/>
            </a:rPr>
            <a:t>Anlagen" 
</a:t>
          </a:r>
          <a:r>
            <a:rPr lang="en-US" cap="none" sz="2000" b="0" i="0" u="none" baseline="0">
              <a:solidFill>
                <a:srgbClr val="008000"/>
              </a:solidFill>
              <a:latin typeface="Calibri"/>
              <a:ea typeface="Calibri"/>
              <a:cs typeface="Calibri"/>
            </a:rPr>
            <a:t>(bis 500 kWp) mit Anspruch auf feste</a:t>
          </a:r>
          <a:r>
            <a:rPr lang="en-US" cap="none" sz="2000" b="0" i="0" u="none" baseline="0">
              <a:solidFill>
                <a:srgbClr val="008000"/>
              </a:solidFill>
              <a:latin typeface="Calibri"/>
              <a:ea typeface="Calibri"/>
              <a:cs typeface="Calibri"/>
            </a:rPr>
            <a:t> Einspeisever-
</a:t>
          </a:r>
          <a:r>
            <a:rPr lang="en-US" cap="none" sz="2000" b="0" i="0" u="none" baseline="0">
              <a:solidFill>
                <a:srgbClr val="008000"/>
              </a:solidFill>
              <a:latin typeface="Calibri"/>
              <a:ea typeface="Calibri"/>
              <a:cs typeface="Calibri"/>
            </a:rPr>
            <a:t>gütung (+ Eigenstromverbrauch) gerechnet werden.</a:t>
          </a:r>
        </a:p>
      </xdr:txBody>
    </xdr:sp>
    <xdr:clientData/>
  </xdr:oneCellAnchor>
  <xdr:twoCellAnchor>
    <xdr:from>
      <xdr:col>4</xdr:col>
      <xdr:colOff>542925</xdr:colOff>
      <xdr:row>21</xdr:row>
      <xdr:rowOff>85725</xdr:rowOff>
    </xdr:from>
    <xdr:to>
      <xdr:col>10</xdr:col>
      <xdr:colOff>314325</xdr:colOff>
      <xdr:row>22</xdr:row>
      <xdr:rowOff>0</xdr:rowOff>
    </xdr:to>
    <xdr:sp>
      <xdr:nvSpPr>
        <xdr:cNvPr id="5" name="Gerade Verbindung mit Pfeil 5"/>
        <xdr:cNvSpPr>
          <a:spLocks/>
        </xdr:cNvSpPr>
      </xdr:nvSpPr>
      <xdr:spPr>
        <a:xfrm>
          <a:off x="4029075" y="3981450"/>
          <a:ext cx="4105275" cy="104775"/>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6</xdr:col>
      <xdr:colOff>771525</xdr:colOff>
      <xdr:row>41</xdr:row>
      <xdr:rowOff>66675</xdr:rowOff>
    </xdr:from>
    <xdr:to>
      <xdr:col>11</xdr:col>
      <xdr:colOff>733425</xdr:colOff>
      <xdr:row>49</xdr:row>
      <xdr:rowOff>142875</xdr:rowOff>
    </xdr:to>
    <xdr:sp>
      <xdr:nvSpPr>
        <xdr:cNvPr id="6" name="Gerade Verbindung mit Pfeil 6"/>
        <xdr:cNvSpPr>
          <a:spLocks/>
        </xdr:cNvSpPr>
      </xdr:nvSpPr>
      <xdr:spPr>
        <a:xfrm flipV="1">
          <a:off x="6334125" y="7772400"/>
          <a:ext cx="3000375" cy="15811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6</xdr:col>
      <xdr:colOff>752475</xdr:colOff>
      <xdr:row>26</xdr:row>
      <xdr:rowOff>28575</xdr:rowOff>
    </xdr:from>
    <xdr:to>
      <xdr:col>11</xdr:col>
      <xdr:colOff>762000</xdr:colOff>
      <xdr:row>49</xdr:row>
      <xdr:rowOff>142875</xdr:rowOff>
    </xdr:to>
    <xdr:sp>
      <xdr:nvSpPr>
        <xdr:cNvPr id="7" name="Gerade Verbindung mit Pfeil 7"/>
        <xdr:cNvSpPr>
          <a:spLocks/>
        </xdr:cNvSpPr>
      </xdr:nvSpPr>
      <xdr:spPr>
        <a:xfrm flipV="1">
          <a:off x="6315075" y="4895850"/>
          <a:ext cx="3048000" cy="445770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oneCellAnchor>
    <xdr:from>
      <xdr:col>10</xdr:col>
      <xdr:colOff>409575</xdr:colOff>
      <xdr:row>28</xdr:row>
      <xdr:rowOff>114300</xdr:rowOff>
    </xdr:from>
    <xdr:ext cx="6276975" cy="723900"/>
    <xdr:sp>
      <xdr:nvSpPr>
        <xdr:cNvPr id="8" name="Textfeld 8"/>
        <xdr:cNvSpPr txBox="1">
          <a:spLocks noChangeArrowheads="1"/>
        </xdr:cNvSpPr>
      </xdr:nvSpPr>
      <xdr:spPr>
        <a:xfrm>
          <a:off x="8229600" y="5372100"/>
          <a:ext cx="6276975" cy="723900"/>
        </a:xfrm>
        <a:prstGeom prst="rect">
          <a:avLst/>
        </a:prstGeom>
        <a:solidFill>
          <a:srgbClr val="FFFFFF"/>
        </a:solidFill>
        <a:ln w="25400" cmpd="sng">
          <a:solidFill>
            <a:srgbClr val="FF0000"/>
          </a:solidFill>
          <a:headEnd type="none"/>
          <a:tailEnd type="none"/>
        </a:ln>
      </xdr:spPr>
      <xdr:txBody>
        <a:bodyPr vertOverflow="clip" wrap="square">
          <a:spAutoFit/>
        </a:bodyPr>
        <a:p>
          <a:pPr algn="ctr">
            <a:defRPr/>
          </a:pPr>
          <a:r>
            <a:rPr lang="en-US" cap="none" sz="2000" b="0" i="0" u="none" baseline="0">
              <a:solidFill>
                <a:srgbClr val="FF0000"/>
              </a:solidFill>
              <a:latin typeface="Calibri"/>
              <a:ea typeface="Calibri"/>
              <a:cs typeface="Calibri"/>
            </a:rPr>
            <a:t>Anlagen</a:t>
          </a:r>
          <a:r>
            <a:rPr lang="en-US" cap="none" sz="2000" b="0" i="0" u="none" baseline="0">
              <a:solidFill>
                <a:srgbClr val="FF0000"/>
              </a:solidFill>
              <a:latin typeface="Calibri"/>
              <a:ea typeface="Calibri"/>
              <a:cs typeface="Calibri"/>
            </a:rPr>
            <a:t> mit Marktprämienmodell können derzeit mit dem
PV-Rechner nicht kalkuliert werden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1</xdr:row>
      <xdr:rowOff>0</xdr:rowOff>
    </xdr:from>
    <xdr:to>
      <xdr:col>31</xdr:col>
      <xdr:colOff>0</xdr:colOff>
      <xdr:row>38</xdr:row>
      <xdr:rowOff>0</xdr:rowOff>
    </xdr:to>
    <xdr:graphicFrame>
      <xdr:nvGraphicFramePr>
        <xdr:cNvPr id="1" name="Diagramm 2"/>
        <xdr:cNvGraphicFramePr/>
      </xdr:nvGraphicFramePr>
      <xdr:xfrm>
        <a:off x="3876675" y="38100"/>
        <a:ext cx="3629025" cy="3438525"/>
      </xdr:xfrm>
      <a:graphic>
        <a:graphicData uri="http://schemas.openxmlformats.org/drawingml/2006/chart">
          <c:chart xmlns:c="http://schemas.openxmlformats.org/drawingml/2006/chart" r:id="rId1"/>
        </a:graphicData>
      </a:graphic>
    </xdr:graphicFrame>
    <xdr:clientData/>
  </xdr:twoCellAnchor>
  <xdr:twoCellAnchor>
    <xdr:from>
      <xdr:col>18</xdr:col>
      <xdr:colOff>180975</xdr:colOff>
      <xdr:row>8</xdr:row>
      <xdr:rowOff>9525</xdr:rowOff>
    </xdr:from>
    <xdr:to>
      <xdr:col>19</xdr:col>
      <xdr:colOff>228600</xdr:colOff>
      <xdr:row>11</xdr:row>
      <xdr:rowOff>76200</xdr:rowOff>
    </xdr:to>
    <xdr:sp>
      <xdr:nvSpPr>
        <xdr:cNvPr id="2" name="Oval 3"/>
        <xdr:cNvSpPr>
          <a:spLocks/>
        </xdr:cNvSpPr>
      </xdr:nvSpPr>
      <xdr:spPr>
        <a:xfrm>
          <a:off x="4695825" y="771525"/>
          <a:ext cx="285750" cy="266700"/>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11</xdr:row>
      <xdr:rowOff>114300</xdr:rowOff>
    </xdr:from>
    <xdr:to>
      <xdr:col>20</xdr:col>
      <xdr:colOff>0</xdr:colOff>
      <xdr:row>15</xdr:row>
      <xdr:rowOff>104775</xdr:rowOff>
    </xdr:to>
    <xdr:sp>
      <xdr:nvSpPr>
        <xdr:cNvPr id="3" name="Line 4"/>
        <xdr:cNvSpPr>
          <a:spLocks/>
        </xdr:cNvSpPr>
      </xdr:nvSpPr>
      <xdr:spPr>
        <a:xfrm>
          <a:off x="4867275" y="1076325"/>
          <a:ext cx="123825" cy="3524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180975</xdr:colOff>
      <xdr:row>11</xdr:row>
      <xdr:rowOff>85725</xdr:rowOff>
    </xdr:from>
    <xdr:to>
      <xdr:col>20</xdr:col>
      <xdr:colOff>190500</xdr:colOff>
      <xdr:row>15</xdr:row>
      <xdr:rowOff>95250</xdr:rowOff>
    </xdr:to>
    <xdr:sp>
      <xdr:nvSpPr>
        <xdr:cNvPr id="4" name="Line 6"/>
        <xdr:cNvSpPr>
          <a:spLocks/>
        </xdr:cNvSpPr>
      </xdr:nvSpPr>
      <xdr:spPr>
        <a:xfrm>
          <a:off x="4933950" y="1047750"/>
          <a:ext cx="247650" cy="371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11</xdr:row>
      <xdr:rowOff>19050</xdr:rowOff>
    </xdr:from>
    <xdr:to>
      <xdr:col>21</xdr:col>
      <xdr:colOff>28575</xdr:colOff>
      <xdr:row>13</xdr:row>
      <xdr:rowOff>95250</xdr:rowOff>
    </xdr:to>
    <xdr:sp>
      <xdr:nvSpPr>
        <xdr:cNvPr id="5" name="Line 7"/>
        <xdr:cNvSpPr>
          <a:spLocks/>
        </xdr:cNvSpPr>
      </xdr:nvSpPr>
      <xdr:spPr>
        <a:xfrm>
          <a:off x="5010150" y="981075"/>
          <a:ext cx="247650" cy="2571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11</xdr:row>
      <xdr:rowOff>95250</xdr:rowOff>
    </xdr:from>
    <xdr:to>
      <xdr:col>19</xdr:col>
      <xdr:colOff>38100</xdr:colOff>
      <xdr:row>15</xdr:row>
      <xdr:rowOff>38100</xdr:rowOff>
    </xdr:to>
    <xdr:sp>
      <xdr:nvSpPr>
        <xdr:cNvPr id="6" name="Line 8"/>
        <xdr:cNvSpPr>
          <a:spLocks/>
        </xdr:cNvSpPr>
      </xdr:nvSpPr>
      <xdr:spPr>
        <a:xfrm>
          <a:off x="4791075" y="1057275"/>
          <a:ext cx="0"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9</xdr:row>
      <xdr:rowOff>104775</xdr:rowOff>
    </xdr:from>
    <xdr:to>
      <xdr:col>21</xdr:col>
      <xdr:colOff>47625</xdr:colOff>
      <xdr:row>11</xdr:row>
      <xdr:rowOff>47625</xdr:rowOff>
    </xdr:to>
    <xdr:sp>
      <xdr:nvSpPr>
        <xdr:cNvPr id="7" name="Line 9"/>
        <xdr:cNvSpPr>
          <a:spLocks/>
        </xdr:cNvSpPr>
      </xdr:nvSpPr>
      <xdr:spPr>
        <a:xfrm>
          <a:off x="5019675" y="885825"/>
          <a:ext cx="257175" cy="1238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el-bw.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larwirtschaft.de/unsere-themen/erneuerbare-energien-gesetz" TargetMode="External" /><Relationship Id="rId2" Type="http://schemas.openxmlformats.org/officeDocument/2006/relationships/hyperlink" Target="http://www.erneuerbare-energien.de/erneuerbare_energien/pv-novelle_2012/doc/48542.php" TargetMode="External" /><Relationship Id="rId3" Type="http://schemas.openxmlformats.org/officeDocument/2006/relationships/hyperlink" Target="http://www.bmu.de/erneuerbare_energien/downloads/doc/48898.php" TargetMode="External" /><Relationship Id="rId4" Type="http://schemas.openxmlformats.org/officeDocument/2006/relationships/hyperlink" Target="http://www.bundesnetzagentur.de/cln_1931/DE/Sachgebiete/ElektrizitaetGas/ErneuerbareEnergienGesetz/VerguetungssaetzePVAnlagen/VerguetungssaetzePhotovoltaik_Basepage.html?nn=135464" TargetMode="External" /><Relationship Id="rId5" Type="http://schemas.openxmlformats.org/officeDocument/2006/relationships/hyperlink" Target="http://www.clearingstelle-eeg.de/fotovoltaik/" TargetMode="External" /><Relationship Id="rId6" Type="http://schemas.openxmlformats.org/officeDocument/2006/relationships/hyperlink" Target="http://www.bundesnetzagentur.de/cln_1931/DE/Sachgebiete/ElektrizitaetundGas/Unternehmen_Institutionen/ErneuerbareEnergien/Photovoltaik/DatenMeldgn_EEG-VergSaetze/DatenMeldgn_EEG-VergSaetze_node.html" TargetMode="External" /><Relationship Id="rId7" Type="http://schemas.openxmlformats.org/officeDocument/2006/relationships/comments" Target="../comments5.xml" /><Relationship Id="rId8" Type="http://schemas.openxmlformats.org/officeDocument/2006/relationships/vmlDrawing" Target="../drawings/vmlDrawing2.vml" /><Relationship Id="rId9" Type="http://schemas.openxmlformats.org/officeDocument/2006/relationships/drawing" Target="../drawings/drawing4.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O159"/>
  <sheetViews>
    <sheetView tabSelected="1" zoomScale="90" zoomScaleNormal="90" zoomScalePageLayoutView="0" workbookViewId="0" topLeftCell="A1">
      <pane xSplit="20" topLeftCell="U1" activePane="topRight" state="frozen"/>
      <selection pane="topLeft" activeCell="A1" sqref="A1"/>
      <selection pane="topRight" activeCell="G5" sqref="G5:S8"/>
    </sheetView>
  </sheetViews>
  <sheetFormatPr defaultColWidth="11.421875" defaultRowHeight="12.75"/>
  <cols>
    <col min="1" max="1" width="1.7109375" style="11" customWidth="1"/>
    <col min="2" max="3" width="4.28125" style="11" customWidth="1"/>
    <col min="4" max="4" width="1.7109375" style="11" customWidth="1"/>
    <col min="5" max="5" width="10.7109375" style="458" hidden="1" customWidth="1"/>
    <col min="6" max="7" width="1.7109375" style="11" customWidth="1"/>
    <col min="8" max="18" width="5.7109375" style="11" customWidth="1"/>
    <col min="19" max="19" width="1.7109375" style="11" customWidth="1"/>
    <col min="20" max="20" width="2.7109375" style="11" customWidth="1"/>
    <col min="21" max="21" width="6.7109375" style="11" customWidth="1"/>
    <col min="22" max="23" width="1.7109375" style="11" customWidth="1"/>
    <col min="24" max="36" width="5.7109375" style="11" customWidth="1"/>
    <col min="37" max="37" width="2.7109375" style="11" customWidth="1"/>
    <col min="38" max="38" width="20.7109375" style="11" customWidth="1"/>
    <col min="39" max="39" width="6.7109375" style="11" customWidth="1"/>
    <col min="40" max="40" width="10.7109375" style="11" hidden="1" customWidth="1"/>
    <col min="41" max="41" width="1.7109375" style="11" customWidth="1"/>
    <col min="42" max="52" width="6.7109375" style="11" customWidth="1"/>
    <col min="53" max="53" width="1.7109375" style="11" customWidth="1"/>
    <col min="54" max="54" width="20.7109375" style="11" customWidth="1"/>
    <col min="55" max="55" width="3.57421875" style="11" customWidth="1"/>
    <col min="56" max="56" width="10.7109375" style="11" hidden="1" customWidth="1"/>
    <col min="57" max="57" width="1.7109375" style="11" customWidth="1"/>
    <col min="58" max="65" width="6.7109375" style="11" customWidth="1"/>
    <col min="66" max="66" width="5.28125" style="11" customWidth="1"/>
    <col min="67" max="67" width="8.28125" style="11" customWidth="1"/>
    <col min="68" max="69" width="6.7109375" style="11" customWidth="1"/>
    <col min="70" max="70" width="2.7109375" style="11" customWidth="1"/>
    <col min="71" max="71" width="20.7109375" style="11" customWidth="1"/>
    <col min="72" max="72" width="3.57421875" style="11" customWidth="1"/>
    <col min="73" max="73" width="12.57421875" style="458" hidden="1" customWidth="1"/>
    <col min="74" max="87" width="5.7109375" style="11" customWidth="1"/>
    <col min="88" max="88" width="20.7109375" style="11" customWidth="1"/>
    <col min="89" max="89" width="3.57421875" style="11" customWidth="1"/>
    <col min="90" max="90" width="10.7109375" style="11" hidden="1" customWidth="1"/>
    <col min="91" max="91" width="2.7109375" style="11" customWidth="1"/>
    <col min="92" max="92" width="1.7109375" style="11" customWidth="1"/>
    <col min="93" max="105" width="5.7109375" style="11" customWidth="1"/>
    <col min="106" max="106" width="2.7109375" style="11" customWidth="1"/>
    <col min="107" max="107" width="20.7109375" style="11" customWidth="1"/>
    <col min="108" max="119" width="6.7109375" style="11" customWidth="1"/>
    <col min="120" max="16384" width="11.421875" style="11" customWidth="1"/>
  </cols>
  <sheetData>
    <row r="1" spans="1:119" s="7" customFormat="1" ht="2.25" customHeight="1">
      <c r="A1" s="495"/>
      <c r="B1" s="495"/>
      <c r="C1" s="495"/>
      <c r="D1" s="495"/>
      <c r="E1" s="554"/>
      <c r="F1" s="544"/>
      <c r="G1" s="548"/>
      <c r="H1" s="548"/>
      <c r="I1" s="548"/>
      <c r="J1" s="548"/>
      <c r="K1" s="548"/>
      <c r="L1" s="548"/>
      <c r="M1" s="548"/>
      <c r="N1" s="514"/>
      <c r="O1" s="514"/>
      <c r="P1" s="515"/>
      <c r="Q1" s="515"/>
      <c r="R1" s="515"/>
      <c r="S1" s="515"/>
      <c r="T1" s="547"/>
      <c r="U1" s="273"/>
      <c r="V1" s="273"/>
      <c r="W1" s="273"/>
      <c r="X1" s="273"/>
      <c r="Y1" s="273"/>
      <c r="Z1" s="273"/>
      <c r="AA1" s="273"/>
      <c r="AB1" s="273"/>
      <c r="AC1" s="273"/>
      <c r="AD1" s="273"/>
      <c r="AE1" s="273"/>
      <c r="AF1" s="273"/>
      <c r="AG1" s="273"/>
      <c r="AH1" s="273"/>
      <c r="AI1" s="273"/>
      <c r="AJ1" s="273"/>
      <c r="AK1" s="273"/>
      <c r="AL1" s="274"/>
      <c r="AM1" s="261"/>
      <c r="AN1" s="261"/>
      <c r="AO1" s="261"/>
      <c r="AP1" s="261"/>
      <c r="AQ1" s="261"/>
      <c r="AR1" s="261"/>
      <c r="AS1" s="261"/>
      <c r="AT1" s="261"/>
      <c r="AU1" s="261"/>
      <c r="AV1" s="261"/>
      <c r="AW1" s="261"/>
      <c r="AX1" s="261"/>
      <c r="AY1" s="261"/>
      <c r="AZ1" s="261"/>
      <c r="BA1" s="261"/>
      <c r="BB1" s="274"/>
      <c r="BC1" s="274"/>
      <c r="BD1" s="274"/>
      <c r="BE1" s="261"/>
      <c r="BF1" s="261"/>
      <c r="BG1" s="261"/>
      <c r="BH1" s="261"/>
      <c r="BI1" s="261"/>
      <c r="BJ1" s="261"/>
      <c r="BK1" s="261"/>
      <c r="BL1" s="261"/>
      <c r="BM1" s="261"/>
      <c r="BN1" s="261"/>
      <c r="BO1" s="261"/>
      <c r="BP1" s="274"/>
      <c r="BQ1" s="261"/>
      <c r="BR1" s="261"/>
      <c r="BS1" s="274"/>
      <c r="BT1" s="274"/>
      <c r="BU1" s="830"/>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61"/>
      <c r="DE1" s="261"/>
      <c r="DF1" s="261"/>
      <c r="DG1" s="261"/>
      <c r="DH1" s="261"/>
      <c r="DI1" s="261"/>
      <c r="DJ1" s="261"/>
      <c r="DK1" s="261"/>
      <c r="DL1" s="261"/>
      <c r="DM1" s="261"/>
      <c r="DN1" s="261"/>
      <c r="DO1" s="261"/>
    </row>
    <row r="2" spans="1:119" s="7" customFormat="1" ht="9.75" customHeight="1">
      <c r="A2" s="495"/>
      <c r="B2" s="1072" t="s">
        <v>341</v>
      </c>
      <c r="C2" s="1072"/>
      <c r="D2" s="495"/>
      <c r="E2" s="778">
        <f ca="1">TODAY()</f>
        <v>41913</v>
      </c>
      <c r="F2" s="544"/>
      <c r="G2" s="500"/>
      <c r="H2" s="501"/>
      <c r="I2" s="555" t="s">
        <v>345</v>
      </c>
      <c r="J2" s="556"/>
      <c r="K2" s="557"/>
      <c r="L2" s="498"/>
      <c r="M2" s="549" t="s">
        <v>370</v>
      </c>
      <c r="N2" s="550"/>
      <c r="O2" s="550"/>
      <c r="P2" s="550"/>
      <c r="Q2" s="550"/>
      <c r="R2" s="550"/>
      <c r="S2" s="550"/>
      <c r="T2" s="551"/>
      <c r="U2" s="273"/>
      <c r="V2" s="273"/>
      <c r="W2" s="273"/>
      <c r="X2" s="273"/>
      <c r="Y2" s="273"/>
      <c r="Z2" s="273"/>
      <c r="AA2" s="273"/>
      <c r="AB2" s="273"/>
      <c r="AC2" s="273"/>
      <c r="AD2" s="273"/>
      <c r="AE2" s="273"/>
      <c r="AF2" s="273"/>
      <c r="AG2" s="273"/>
      <c r="AH2" s="273"/>
      <c r="AI2" s="273"/>
      <c r="AJ2" s="273"/>
      <c r="AK2" s="273"/>
      <c r="AL2" s="274"/>
      <c r="AM2" s="261"/>
      <c r="AN2" s="261"/>
      <c r="AO2" s="261"/>
      <c r="AP2" s="261"/>
      <c r="AQ2" s="261"/>
      <c r="AR2" s="261"/>
      <c r="AS2" s="261"/>
      <c r="AT2" s="261"/>
      <c r="AU2" s="261"/>
      <c r="AV2" s="261"/>
      <c r="AW2" s="261"/>
      <c r="AX2" s="261"/>
      <c r="AY2" s="261"/>
      <c r="AZ2" s="261"/>
      <c r="BA2" s="261"/>
      <c r="BB2" s="274"/>
      <c r="BC2" s="274"/>
      <c r="BD2" s="274"/>
      <c r="BE2" s="261"/>
      <c r="BF2" s="261"/>
      <c r="BG2" s="261"/>
      <c r="BH2" s="261"/>
      <c r="BI2" s="261"/>
      <c r="BJ2" s="261"/>
      <c r="BK2" s="261"/>
      <c r="BL2" s="261"/>
      <c r="BM2" s="261"/>
      <c r="BN2" s="261"/>
      <c r="BO2" s="261"/>
      <c r="BP2" s="274"/>
      <c r="BQ2" s="261"/>
      <c r="BR2" s="261"/>
      <c r="BS2" s="274"/>
      <c r="BT2" s="274"/>
      <c r="BU2" s="830"/>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61"/>
      <c r="DE2" s="261"/>
      <c r="DF2" s="261"/>
      <c r="DG2" s="261"/>
      <c r="DH2" s="261"/>
      <c r="DI2" s="261"/>
      <c r="DJ2" s="261"/>
      <c r="DK2" s="261"/>
      <c r="DL2" s="261"/>
      <c r="DM2" s="261"/>
      <c r="DN2" s="261"/>
      <c r="DO2" s="261"/>
    </row>
    <row r="3" spans="1:119" s="7" customFormat="1" ht="2.25" customHeight="1">
      <c r="A3" s="495"/>
      <c r="B3" s="1072"/>
      <c r="C3" s="1072"/>
      <c r="D3" s="495"/>
      <c r="E3" s="554"/>
      <c r="F3" s="544"/>
      <c r="G3" s="548"/>
      <c r="H3" s="548"/>
      <c r="I3" s="548"/>
      <c r="J3" s="548"/>
      <c r="K3" s="548"/>
      <c r="L3" s="548"/>
      <c r="M3" s="552"/>
      <c r="N3" s="552"/>
      <c r="O3" s="552"/>
      <c r="P3" s="551"/>
      <c r="Q3" s="551"/>
      <c r="R3" s="551"/>
      <c r="S3" s="551"/>
      <c r="T3" s="551"/>
      <c r="U3" s="273"/>
      <c r="V3" s="503"/>
      <c r="W3" s="280"/>
      <c r="X3" s="280"/>
      <c r="Y3" s="280"/>
      <c r="Z3" s="280"/>
      <c r="AA3" s="280"/>
      <c r="AB3" s="280"/>
      <c r="AC3" s="280"/>
      <c r="AD3" s="280"/>
      <c r="AE3" s="280"/>
      <c r="AF3" s="280"/>
      <c r="AG3" s="280"/>
      <c r="AH3" s="280"/>
      <c r="AI3" s="280"/>
      <c r="AJ3" s="280"/>
      <c r="AK3" s="281"/>
      <c r="AL3" s="274"/>
      <c r="AM3" s="261"/>
      <c r="AN3" s="261"/>
      <c r="AO3" s="503"/>
      <c r="AP3" s="280"/>
      <c r="AQ3" s="280"/>
      <c r="AR3" s="280"/>
      <c r="AS3" s="280"/>
      <c r="AT3" s="280"/>
      <c r="AU3" s="280"/>
      <c r="AV3" s="280"/>
      <c r="AW3" s="280"/>
      <c r="AX3" s="280"/>
      <c r="AY3" s="280"/>
      <c r="AZ3" s="280"/>
      <c r="BA3" s="281"/>
      <c r="BB3" s="274"/>
      <c r="BC3" s="274"/>
      <c r="BD3" s="274"/>
      <c r="BE3" s="503"/>
      <c r="BF3" s="280"/>
      <c r="BG3" s="280"/>
      <c r="BH3" s="280"/>
      <c r="BI3" s="280"/>
      <c r="BJ3" s="280"/>
      <c r="BK3" s="280"/>
      <c r="BL3" s="280"/>
      <c r="BM3" s="280"/>
      <c r="BN3" s="280"/>
      <c r="BO3" s="280"/>
      <c r="BP3" s="980" t="str">
        <f>AH4</f>
        <v>31. Juli 2014; Vers. 2.1
© Werner Schmid</v>
      </c>
      <c r="BQ3" s="980"/>
      <c r="BR3" s="981"/>
      <c r="BS3" s="274"/>
      <c r="BT3" s="274"/>
      <c r="BU3" s="830"/>
      <c r="BV3" s="274"/>
      <c r="BW3" s="274"/>
      <c r="BX3" s="274"/>
      <c r="BY3" s="274"/>
      <c r="BZ3" s="274"/>
      <c r="CA3" s="274"/>
      <c r="CB3" s="274"/>
      <c r="CC3" s="274"/>
      <c r="CD3" s="274"/>
      <c r="CE3" s="274"/>
      <c r="CF3" s="274"/>
      <c r="CG3" s="274"/>
      <c r="CH3" s="274"/>
      <c r="CI3" s="274"/>
      <c r="CJ3" s="274"/>
      <c r="CK3" s="274"/>
      <c r="CL3" s="274"/>
      <c r="CM3" s="503"/>
      <c r="CN3" s="280"/>
      <c r="CO3" s="280"/>
      <c r="CP3" s="280"/>
      <c r="CQ3" s="280"/>
      <c r="CR3" s="280"/>
      <c r="CS3" s="280"/>
      <c r="CT3" s="280"/>
      <c r="CU3" s="280"/>
      <c r="CV3" s="280"/>
      <c r="CW3" s="280"/>
      <c r="CX3" s="280"/>
      <c r="CY3" s="280"/>
      <c r="CZ3" s="280"/>
      <c r="DA3" s="280"/>
      <c r="DB3" s="281"/>
      <c r="DC3" s="274"/>
      <c r="DD3" s="261"/>
      <c r="DE3" s="261"/>
      <c r="DF3" s="261"/>
      <c r="DG3" s="261"/>
      <c r="DH3" s="261"/>
      <c r="DI3" s="261"/>
      <c r="DJ3" s="261"/>
      <c r="DK3" s="261"/>
      <c r="DL3" s="261"/>
      <c r="DM3" s="261"/>
      <c r="DN3" s="261"/>
      <c r="DO3" s="261"/>
    </row>
    <row r="4" spans="1:119" s="7" customFormat="1" ht="2.25" customHeight="1">
      <c r="A4" s="495"/>
      <c r="B4" s="1072"/>
      <c r="C4" s="1072"/>
      <c r="D4" s="495"/>
      <c r="E4" s="284"/>
      <c r="F4" s="544"/>
      <c r="G4" s="446"/>
      <c r="H4" s="276"/>
      <c r="I4" s="276"/>
      <c r="J4" s="276"/>
      <c r="K4" s="276"/>
      <c r="L4" s="276"/>
      <c r="M4" s="722"/>
      <c r="N4" s="722"/>
      <c r="O4" s="722"/>
      <c r="P4" s="722"/>
      <c r="Q4" s="722"/>
      <c r="R4" s="722"/>
      <c r="S4" s="722"/>
      <c r="T4" s="551"/>
      <c r="U4" s="273"/>
      <c r="V4" s="558"/>
      <c r="W4" s="559"/>
      <c r="X4" s="559"/>
      <c r="Y4" s="559"/>
      <c r="Z4" s="559"/>
      <c r="AA4" s="559"/>
      <c r="AB4" s="559"/>
      <c r="AC4" s="559"/>
      <c r="AD4" s="559"/>
      <c r="AE4" s="559"/>
      <c r="AF4" s="559"/>
      <c r="AG4" s="559"/>
      <c r="AH4" s="945" t="str">
        <f>""&amp;Programmbeschreibung!D3&amp;"
© Werner Schmid"</f>
        <v>31. Juli 2014; Vers. 2.1
© Werner Schmid</v>
      </c>
      <c r="AI4" s="945"/>
      <c r="AJ4" s="945"/>
      <c r="AK4" s="946"/>
      <c r="AL4" s="274"/>
      <c r="AM4" s="274"/>
      <c r="AN4" s="274"/>
      <c r="AO4" s="558"/>
      <c r="AP4" s="559"/>
      <c r="AQ4" s="559"/>
      <c r="AR4" s="559"/>
      <c r="AS4" s="559"/>
      <c r="AT4" s="559"/>
      <c r="AU4" s="559"/>
      <c r="AV4" s="559"/>
      <c r="AW4" s="559"/>
      <c r="AX4" s="559"/>
      <c r="AY4" s="945" t="str">
        <f>AH4</f>
        <v>31. Juli 2014; Vers. 2.1
© Werner Schmid</v>
      </c>
      <c r="AZ4" s="945"/>
      <c r="BA4" s="946"/>
      <c r="BB4" s="274"/>
      <c r="BC4" s="274"/>
      <c r="BD4" s="274"/>
      <c r="BE4" s="558"/>
      <c r="BF4" s="559"/>
      <c r="BG4" s="559"/>
      <c r="BH4" s="559"/>
      <c r="BI4" s="559"/>
      <c r="BJ4" s="559"/>
      <c r="BK4" s="559"/>
      <c r="BL4" s="559"/>
      <c r="BM4" s="559"/>
      <c r="BN4" s="560"/>
      <c r="BO4" s="560"/>
      <c r="BP4" s="945"/>
      <c r="BQ4" s="945"/>
      <c r="BR4" s="946"/>
      <c r="BS4" s="274"/>
      <c r="BT4" s="274"/>
      <c r="BU4" s="830"/>
      <c r="BV4" s="558"/>
      <c r="BW4" s="559"/>
      <c r="BX4" s="559"/>
      <c r="BY4" s="559"/>
      <c r="BZ4" s="559"/>
      <c r="CA4" s="559"/>
      <c r="CB4" s="559"/>
      <c r="CC4" s="559"/>
      <c r="CD4" s="559"/>
      <c r="CE4" s="559"/>
      <c r="CF4" s="559"/>
      <c r="CG4" s="945" t="str">
        <f>AH4</f>
        <v>31. Juli 2014; Vers. 2.1
© Werner Schmid</v>
      </c>
      <c r="CH4" s="945"/>
      <c r="CI4" s="946"/>
      <c r="CJ4" s="274"/>
      <c r="CK4" s="274"/>
      <c r="CL4" s="274"/>
      <c r="CM4" s="558"/>
      <c r="CN4" s="559"/>
      <c r="CO4" s="559"/>
      <c r="CP4" s="559"/>
      <c r="CQ4" s="559"/>
      <c r="CR4" s="559"/>
      <c r="CS4" s="559"/>
      <c r="CT4" s="559"/>
      <c r="CU4" s="559"/>
      <c r="CV4" s="559"/>
      <c r="CW4" s="559"/>
      <c r="CX4" s="559"/>
      <c r="CY4" s="945" t="str">
        <f>AH4</f>
        <v>31. Juli 2014; Vers. 2.1
© Werner Schmid</v>
      </c>
      <c r="CZ4" s="945"/>
      <c r="DA4" s="945"/>
      <c r="DB4" s="946"/>
      <c r="DC4" s="274"/>
      <c r="DD4" s="261"/>
      <c r="DE4" s="261"/>
      <c r="DF4" s="261"/>
      <c r="DG4" s="261"/>
      <c r="DH4" s="261"/>
      <c r="DI4" s="261"/>
      <c r="DJ4" s="261"/>
      <c r="DK4" s="261"/>
      <c r="DL4" s="261"/>
      <c r="DM4" s="261"/>
      <c r="DN4" s="261"/>
      <c r="DO4" s="261"/>
    </row>
    <row r="5" spans="1:119" s="7" customFormat="1" ht="11.25" customHeight="1">
      <c r="A5" s="495"/>
      <c r="B5" s="1072"/>
      <c r="C5" s="1072"/>
      <c r="D5" s="495"/>
      <c r="E5" s="778">
        <f>ZRB!G3</f>
        <v>42004</v>
      </c>
      <c r="F5" s="544"/>
      <c r="G5" s="1049" t="s">
        <v>742</v>
      </c>
      <c r="H5" s="1049"/>
      <c r="I5" s="1049"/>
      <c r="J5" s="1049"/>
      <c r="K5" s="1049"/>
      <c r="L5" s="1049"/>
      <c r="M5" s="1049"/>
      <c r="N5" s="1049"/>
      <c r="O5" s="1049"/>
      <c r="P5" s="1049"/>
      <c r="Q5" s="1049"/>
      <c r="R5" s="1049"/>
      <c r="S5" s="1049"/>
      <c r="T5" s="547"/>
      <c r="U5" s="273"/>
      <c r="V5" s="949" t="s">
        <v>344</v>
      </c>
      <c r="W5" s="950"/>
      <c r="X5" s="950"/>
      <c r="Y5" s="950"/>
      <c r="Z5" s="950"/>
      <c r="AA5" s="950"/>
      <c r="AB5" s="950"/>
      <c r="AC5" s="970" t="s">
        <v>346</v>
      </c>
      <c r="AD5" s="970"/>
      <c r="AE5" s="970"/>
      <c r="AF5" s="970"/>
      <c r="AG5" s="970"/>
      <c r="AH5" s="945"/>
      <c r="AI5" s="945"/>
      <c r="AJ5" s="945"/>
      <c r="AK5" s="946"/>
      <c r="AL5" s="274"/>
      <c r="AM5" s="274"/>
      <c r="AN5" s="274"/>
      <c r="AO5" s="949" t="s">
        <v>344</v>
      </c>
      <c r="AP5" s="950"/>
      <c r="AQ5" s="950"/>
      <c r="AR5" s="950"/>
      <c r="AS5" s="950"/>
      <c r="AT5" s="950"/>
      <c r="AU5" s="970" t="s">
        <v>348</v>
      </c>
      <c r="AV5" s="970"/>
      <c r="AW5" s="970"/>
      <c r="AX5" s="511"/>
      <c r="AY5" s="945"/>
      <c r="AZ5" s="945"/>
      <c r="BA5" s="946"/>
      <c r="BB5" s="274"/>
      <c r="BC5" s="274"/>
      <c r="BD5" s="274"/>
      <c r="BE5" s="949" t="s">
        <v>344</v>
      </c>
      <c r="BF5" s="950"/>
      <c r="BG5" s="950"/>
      <c r="BH5" s="950"/>
      <c r="BI5" s="950"/>
      <c r="BJ5" s="560"/>
      <c r="BK5" s="560"/>
      <c r="BL5" s="970" t="s">
        <v>358</v>
      </c>
      <c r="BM5" s="970"/>
      <c r="BN5" s="970"/>
      <c r="BO5" s="560"/>
      <c r="BP5" s="945"/>
      <c r="BQ5" s="945"/>
      <c r="BR5" s="946"/>
      <c r="BS5" s="274"/>
      <c r="BT5" s="274"/>
      <c r="BU5" s="830"/>
      <c r="BV5" s="949" t="s">
        <v>344</v>
      </c>
      <c r="BW5" s="950"/>
      <c r="BX5" s="950"/>
      <c r="BY5" s="950"/>
      <c r="BZ5" s="950"/>
      <c r="CA5" s="950"/>
      <c r="CB5" s="951" t="s">
        <v>562</v>
      </c>
      <c r="CC5" s="951"/>
      <c r="CD5" s="951"/>
      <c r="CE5" s="951"/>
      <c r="CF5" s="951"/>
      <c r="CG5" s="945"/>
      <c r="CH5" s="945"/>
      <c r="CI5" s="946"/>
      <c r="CJ5" s="274"/>
      <c r="CK5" s="274"/>
      <c r="CL5" s="274"/>
      <c r="CM5" s="949" t="s">
        <v>344</v>
      </c>
      <c r="CN5" s="950"/>
      <c r="CO5" s="950"/>
      <c r="CP5" s="950"/>
      <c r="CQ5" s="950"/>
      <c r="CR5" s="950"/>
      <c r="CS5" s="950"/>
      <c r="CT5" s="951" t="s">
        <v>367</v>
      </c>
      <c r="CU5" s="951"/>
      <c r="CV5" s="951"/>
      <c r="CW5" s="951"/>
      <c r="CX5" s="951"/>
      <c r="CY5" s="945"/>
      <c r="CZ5" s="945"/>
      <c r="DA5" s="945"/>
      <c r="DB5" s="946"/>
      <c r="DC5" s="274"/>
      <c r="DD5" s="261"/>
      <c r="DE5" s="261"/>
      <c r="DF5" s="261"/>
      <c r="DG5" s="261"/>
      <c r="DH5" s="261"/>
      <c r="DI5" s="261"/>
      <c r="DJ5" s="261"/>
      <c r="DK5" s="261"/>
      <c r="DL5" s="261"/>
      <c r="DM5" s="261"/>
      <c r="DN5" s="261"/>
      <c r="DO5" s="261"/>
    </row>
    <row r="6" spans="1:119" s="7" customFormat="1" ht="2.25" customHeight="1">
      <c r="A6" s="495"/>
      <c r="B6" s="1072"/>
      <c r="C6" s="1072"/>
      <c r="D6" s="495"/>
      <c r="E6" s="284"/>
      <c r="F6" s="544"/>
      <c r="G6" s="1049"/>
      <c r="H6" s="1049"/>
      <c r="I6" s="1049"/>
      <c r="J6" s="1049"/>
      <c r="K6" s="1049"/>
      <c r="L6" s="1049"/>
      <c r="M6" s="1049"/>
      <c r="N6" s="1049"/>
      <c r="O6" s="1049"/>
      <c r="P6" s="1049"/>
      <c r="Q6" s="1049"/>
      <c r="R6" s="1049"/>
      <c r="S6" s="1049"/>
      <c r="T6" s="547"/>
      <c r="U6" s="273"/>
      <c r="V6" s="949"/>
      <c r="W6" s="950"/>
      <c r="X6" s="950"/>
      <c r="Y6" s="950"/>
      <c r="Z6" s="950"/>
      <c r="AA6" s="950"/>
      <c r="AB6" s="950"/>
      <c r="AC6" s="970"/>
      <c r="AD6" s="970"/>
      <c r="AE6" s="970"/>
      <c r="AF6" s="970"/>
      <c r="AG6" s="970"/>
      <c r="AH6" s="945"/>
      <c r="AI6" s="945"/>
      <c r="AJ6" s="945"/>
      <c r="AK6" s="946"/>
      <c r="AL6" s="261"/>
      <c r="AM6" s="261"/>
      <c r="AN6" s="261"/>
      <c r="AO6" s="949"/>
      <c r="AP6" s="950"/>
      <c r="AQ6" s="950"/>
      <c r="AR6" s="950"/>
      <c r="AS6" s="950"/>
      <c r="AT6" s="950"/>
      <c r="AU6" s="970"/>
      <c r="AV6" s="970"/>
      <c r="AW6" s="970"/>
      <c r="AX6" s="511"/>
      <c r="AY6" s="945"/>
      <c r="AZ6" s="945"/>
      <c r="BA6" s="946"/>
      <c r="BB6" s="261"/>
      <c r="BC6" s="261"/>
      <c r="BD6" s="261"/>
      <c r="BE6" s="949"/>
      <c r="BF6" s="950"/>
      <c r="BG6" s="950"/>
      <c r="BH6" s="950"/>
      <c r="BI6" s="950"/>
      <c r="BJ6" s="560"/>
      <c r="BK6" s="560"/>
      <c r="BL6" s="970"/>
      <c r="BM6" s="970"/>
      <c r="BN6" s="970"/>
      <c r="BO6" s="560"/>
      <c r="BP6" s="945"/>
      <c r="BQ6" s="945"/>
      <c r="BR6" s="946"/>
      <c r="BS6" s="261"/>
      <c r="BT6" s="274"/>
      <c r="BU6" s="830"/>
      <c r="BV6" s="949"/>
      <c r="BW6" s="950"/>
      <c r="BX6" s="950"/>
      <c r="BY6" s="950"/>
      <c r="BZ6" s="950"/>
      <c r="CA6" s="950"/>
      <c r="CB6" s="951"/>
      <c r="CC6" s="951"/>
      <c r="CD6" s="951"/>
      <c r="CE6" s="951"/>
      <c r="CF6" s="951"/>
      <c r="CG6" s="945"/>
      <c r="CH6" s="945"/>
      <c r="CI6" s="946"/>
      <c r="CJ6" s="274"/>
      <c r="CK6" s="261"/>
      <c r="CL6" s="261"/>
      <c r="CM6" s="949"/>
      <c r="CN6" s="950"/>
      <c r="CO6" s="950"/>
      <c r="CP6" s="950"/>
      <c r="CQ6" s="950"/>
      <c r="CR6" s="950"/>
      <c r="CS6" s="950"/>
      <c r="CT6" s="951"/>
      <c r="CU6" s="951"/>
      <c r="CV6" s="951"/>
      <c r="CW6" s="951"/>
      <c r="CX6" s="951"/>
      <c r="CY6" s="945"/>
      <c r="CZ6" s="945"/>
      <c r="DA6" s="945"/>
      <c r="DB6" s="946"/>
      <c r="DC6" s="261"/>
      <c r="DD6" s="261"/>
      <c r="DE6" s="261"/>
      <c r="DF6" s="261"/>
      <c r="DG6" s="261"/>
      <c r="DH6" s="261"/>
      <c r="DI6" s="261"/>
      <c r="DJ6" s="261"/>
      <c r="DK6" s="261"/>
      <c r="DL6" s="261"/>
      <c r="DM6" s="261"/>
      <c r="DN6" s="261"/>
      <c r="DO6" s="261"/>
    </row>
    <row r="7" spans="1:119" s="7" customFormat="1" ht="11.25" customHeight="1">
      <c r="A7" s="495"/>
      <c r="B7" s="1072"/>
      <c r="C7" s="1072"/>
      <c r="D7" s="495"/>
      <c r="E7" s="284" t="str">
        <f ca="1">MID(CELL("dateiname",A2),FIND("]",CELL("dateiname",A2))+1,255)</f>
        <v>Kalkulation_Eigenstrom</v>
      </c>
      <c r="F7" s="544"/>
      <c r="G7" s="1049"/>
      <c r="H7" s="1049"/>
      <c r="I7" s="1049"/>
      <c r="J7" s="1049"/>
      <c r="K7" s="1049"/>
      <c r="L7" s="1049"/>
      <c r="M7" s="1049"/>
      <c r="N7" s="1049"/>
      <c r="O7" s="1049"/>
      <c r="P7" s="1049"/>
      <c r="Q7" s="1049"/>
      <c r="R7" s="1049"/>
      <c r="S7" s="1049"/>
      <c r="T7" s="547"/>
      <c r="U7" s="273"/>
      <c r="V7" s="949"/>
      <c r="W7" s="950"/>
      <c r="X7" s="950"/>
      <c r="Y7" s="950"/>
      <c r="Z7" s="950"/>
      <c r="AA7" s="950"/>
      <c r="AB7" s="950"/>
      <c r="AC7" s="970"/>
      <c r="AD7" s="970"/>
      <c r="AE7" s="970"/>
      <c r="AF7" s="970"/>
      <c r="AG7" s="970"/>
      <c r="AH7" s="945"/>
      <c r="AI7" s="945"/>
      <c r="AJ7" s="945"/>
      <c r="AK7" s="946"/>
      <c r="AL7" s="261"/>
      <c r="AM7" s="261"/>
      <c r="AN7" s="261"/>
      <c r="AO7" s="949"/>
      <c r="AP7" s="950"/>
      <c r="AQ7" s="950"/>
      <c r="AR7" s="950"/>
      <c r="AS7" s="950"/>
      <c r="AT7" s="950"/>
      <c r="AU7" s="970"/>
      <c r="AV7" s="970"/>
      <c r="AW7" s="970"/>
      <c r="AX7" s="511"/>
      <c r="AY7" s="945"/>
      <c r="AZ7" s="945"/>
      <c r="BA7" s="946"/>
      <c r="BB7" s="261"/>
      <c r="BC7" s="261"/>
      <c r="BD7" s="261"/>
      <c r="BE7" s="982"/>
      <c r="BF7" s="983"/>
      <c r="BG7" s="983"/>
      <c r="BH7" s="983"/>
      <c r="BI7" s="983"/>
      <c r="BJ7" s="562"/>
      <c r="BK7" s="562"/>
      <c r="BL7" s="984"/>
      <c r="BM7" s="984"/>
      <c r="BN7" s="984"/>
      <c r="BO7" s="562"/>
      <c r="BP7" s="947"/>
      <c r="BQ7" s="947"/>
      <c r="BR7" s="948"/>
      <c r="BS7" s="261"/>
      <c r="BT7" s="274"/>
      <c r="BU7" s="830"/>
      <c r="BV7" s="949"/>
      <c r="BW7" s="950"/>
      <c r="BX7" s="950"/>
      <c r="BY7" s="950"/>
      <c r="BZ7" s="950"/>
      <c r="CA7" s="950"/>
      <c r="CB7" s="951"/>
      <c r="CC7" s="951"/>
      <c r="CD7" s="951"/>
      <c r="CE7" s="951"/>
      <c r="CF7" s="951"/>
      <c r="CG7" s="945"/>
      <c r="CH7" s="945"/>
      <c r="CI7" s="946"/>
      <c r="CJ7" s="274"/>
      <c r="CK7" s="261"/>
      <c r="CL7" s="261"/>
      <c r="CM7" s="949"/>
      <c r="CN7" s="950"/>
      <c r="CO7" s="950"/>
      <c r="CP7" s="950"/>
      <c r="CQ7" s="950"/>
      <c r="CR7" s="950"/>
      <c r="CS7" s="950"/>
      <c r="CT7" s="951"/>
      <c r="CU7" s="951"/>
      <c r="CV7" s="951"/>
      <c r="CW7" s="951"/>
      <c r="CX7" s="951"/>
      <c r="CY7" s="945"/>
      <c r="CZ7" s="945"/>
      <c r="DA7" s="945"/>
      <c r="DB7" s="946"/>
      <c r="DC7" s="261"/>
      <c r="DD7" s="261"/>
      <c r="DE7" s="261"/>
      <c r="DF7" s="261"/>
      <c r="DG7" s="261"/>
      <c r="DH7" s="261"/>
      <c r="DI7" s="261"/>
      <c r="DJ7" s="261"/>
      <c r="DK7" s="261"/>
      <c r="DL7" s="261"/>
      <c r="DM7" s="261"/>
      <c r="DN7" s="261"/>
      <c r="DO7" s="261"/>
    </row>
    <row r="8" spans="1:119" s="7" customFormat="1" ht="2.25" customHeight="1">
      <c r="A8" s="495"/>
      <c r="B8" s="499"/>
      <c r="C8" s="499"/>
      <c r="D8" s="495"/>
      <c r="E8" s="166"/>
      <c r="F8" s="544"/>
      <c r="G8" s="1049"/>
      <c r="H8" s="1049"/>
      <c r="I8" s="1049"/>
      <c r="J8" s="1049"/>
      <c r="K8" s="1049"/>
      <c r="L8" s="1049"/>
      <c r="M8" s="1049"/>
      <c r="N8" s="1049"/>
      <c r="O8" s="1049"/>
      <c r="P8" s="1049"/>
      <c r="Q8" s="1049"/>
      <c r="R8" s="1049"/>
      <c r="S8" s="1049"/>
      <c r="T8" s="547"/>
      <c r="U8" s="273"/>
      <c r="V8" s="512"/>
      <c r="W8" s="513"/>
      <c r="X8" s="513"/>
      <c r="Y8" s="513"/>
      <c r="Z8" s="513"/>
      <c r="AA8" s="513"/>
      <c r="AB8" s="513"/>
      <c r="AC8" s="513"/>
      <c r="AD8" s="513"/>
      <c r="AE8" s="513"/>
      <c r="AF8" s="513"/>
      <c r="AG8" s="513"/>
      <c r="AH8" s="947"/>
      <c r="AI8" s="947"/>
      <c r="AJ8" s="947"/>
      <c r="AK8" s="948"/>
      <c r="AL8" s="261"/>
      <c r="AM8" s="261"/>
      <c r="AN8" s="261"/>
      <c r="AO8" s="512"/>
      <c r="AP8" s="513"/>
      <c r="AQ8" s="513"/>
      <c r="AR8" s="513"/>
      <c r="AS8" s="513"/>
      <c r="AT8" s="513"/>
      <c r="AU8" s="513"/>
      <c r="AV8" s="513"/>
      <c r="AW8" s="513"/>
      <c r="AX8" s="513"/>
      <c r="AY8" s="947"/>
      <c r="AZ8" s="947"/>
      <c r="BA8" s="948"/>
      <c r="BB8" s="261"/>
      <c r="BC8" s="261"/>
      <c r="BD8" s="261"/>
      <c r="BE8" s="561"/>
      <c r="BF8" s="561"/>
      <c r="BG8" s="561"/>
      <c r="BH8" s="561"/>
      <c r="BI8" s="561"/>
      <c r="BJ8" s="561"/>
      <c r="BK8" s="561"/>
      <c r="BL8" s="561"/>
      <c r="BM8" s="561"/>
      <c r="BN8" s="486"/>
      <c r="BO8" s="486"/>
      <c r="BP8" s="261"/>
      <c r="BQ8" s="261"/>
      <c r="BR8" s="261"/>
      <c r="BS8" s="261"/>
      <c r="BT8" s="274"/>
      <c r="BU8" s="830"/>
      <c r="BV8" s="512"/>
      <c r="BW8" s="513"/>
      <c r="BX8" s="513"/>
      <c r="BY8" s="513"/>
      <c r="BZ8" s="513"/>
      <c r="CA8" s="513"/>
      <c r="CB8" s="513"/>
      <c r="CC8" s="513"/>
      <c r="CD8" s="513"/>
      <c r="CE8" s="513"/>
      <c r="CF8" s="513"/>
      <c r="CG8" s="947"/>
      <c r="CH8" s="947"/>
      <c r="CI8" s="948"/>
      <c r="CJ8" s="274"/>
      <c r="CK8" s="261"/>
      <c r="CL8" s="261"/>
      <c r="CM8" s="512"/>
      <c r="CN8" s="513"/>
      <c r="CO8" s="513"/>
      <c r="CP8" s="513"/>
      <c r="CQ8" s="513"/>
      <c r="CR8" s="513"/>
      <c r="CS8" s="513"/>
      <c r="CT8" s="513"/>
      <c r="CU8" s="513"/>
      <c r="CV8" s="513"/>
      <c r="CW8" s="513"/>
      <c r="CX8" s="513"/>
      <c r="CY8" s="947"/>
      <c r="CZ8" s="947"/>
      <c r="DA8" s="947"/>
      <c r="DB8" s="948"/>
      <c r="DC8" s="261"/>
      <c r="DD8" s="261"/>
      <c r="DE8" s="261"/>
      <c r="DF8" s="261"/>
      <c r="DG8" s="261"/>
      <c r="DH8" s="261"/>
      <c r="DI8" s="261"/>
      <c r="DJ8" s="261"/>
      <c r="DK8" s="261"/>
      <c r="DL8" s="261"/>
      <c r="DM8" s="261"/>
      <c r="DN8" s="261"/>
      <c r="DO8" s="261"/>
    </row>
    <row r="9" spans="1:119" s="7" customFormat="1" ht="11.25" customHeight="1">
      <c r="A9" s="1073" t="s">
        <v>369</v>
      </c>
      <c r="B9" s="1073"/>
      <c r="C9" s="1073"/>
      <c r="D9" s="1073"/>
      <c r="E9" s="779">
        <f>IF(E5&lt;E2,1,0)</f>
        <v>0</v>
      </c>
      <c r="F9" s="544"/>
      <c r="G9" s="544"/>
      <c r="H9" s="544"/>
      <c r="I9" s="544"/>
      <c r="J9" s="544"/>
      <c r="K9" s="544"/>
      <c r="L9" s="544"/>
      <c r="M9" s="544"/>
      <c r="N9" s="544"/>
      <c r="O9" s="544"/>
      <c r="P9" s="544"/>
      <c r="Q9" s="544"/>
      <c r="R9" s="544"/>
      <c r="S9" s="658"/>
      <c r="T9" s="544"/>
      <c r="U9" s="273"/>
      <c r="V9" s="510"/>
      <c r="W9" s="510"/>
      <c r="X9" s="510"/>
      <c r="Y9" s="510"/>
      <c r="Z9" s="510"/>
      <c r="AA9" s="510"/>
      <c r="AB9" s="510"/>
      <c r="AC9" s="510"/>
      <c r="AD9" s="510"/>
      <c r="AE9" s="510"/>
      <c r="AF9" s="510"/>
      <c r="AG9" s="510"/>
      <c r="AH9" s="510"/>
      <c r="AI9" s="510"/>
      <c r="AJ9" s="510"/>
      <c r="AK9" s="510"/>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74"/>
      <c r="BU9" s="830"/>
      <c r="BV9" s="274"/>
      <c r="BW9" s="274"/>
      <c r="BX9" s="274"/>
      <c r="BY9" s="274"/>
      <c r="BZ9" s="274"/>
      <c r="CA9" s="274"/>
      <c r="CB9" s="274"/>
      <c r="CC9" s="274"/>
      <c r="CD9" s="274"/>
      <c r="CE9" s="274"/>
      <c r="CF9" s="274"/>
      <c r="CG9" s="274"/>
      <c r="CH9" s="274"/>
      <c r="CI9" s="274"/>
      <c r="CJ9" s="274"/>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row>
    <row r="10" spans="1:119" s="7" customFormat="1" ht="2.25" customHeight="1">
      <c r="A10" s="1073"/>
      <c r="B10" s="1073"/>
      <c r="C10" s="1073"/>
      <c r="D10" s="1073"/>
      <c r="E10" s="284"/>
      <c r="F10" s="553"/>
      <c r="G10" s="278"/>
      <c r="H10" s="279"/>
      <c r="I10" s="279"/>
      <c r="J10" s="279"/>
      <c r="K10" s="279"/>
      <c r="L10" s="279"/>
      <c r="M10" s="279"/>
      <c r="N10" s="279"/>
      <c r="O10" s="280"/>
      <c r="P10" s="280"/>
      <c r="Q10" s="280"/>
      <c r="R10" s="280"/>
      <c r="S10" s="281"/>
      <c r="T10" s="547"/>
      <c r="U10" s="273"/>
      <c r="V10" s="503"/>
      <c r="W10" s="280"/>
      <c r="X10" s="280"/>
      <c r="Y10" s="280"/>
      <c r="Z10" s="280"/>
      <c r="AA10" s="280"/>
      <c r="AB10" s="280"/>
      <c r="AC10" s="280"/>
      <c r="AD10" s="280"/>
      <c r="AE10" s="280"/>
      <c r="AF10" s="280"/>
      <c r="AG10" s="280"/>
      <c r="AH10" s="280"/>
      <c r="AI10" s="280"/>
      <c r="AJ10" s="280"/>
      <c r="AK10" s="281"/>
      <c r="AL10" s="261"/>
      <c r="AM10" s="261"/>
      <c r="AN10" s="345"/>
      <c r="AO10" s="278"/>
      <c r="AP10" s="279"/>
      <c r="AQ10" s="279"/>
      <c r="AR10" s="279"/>
      <c r="AS10" s="279"/>
      <c r="AT10" s="279"/>
      <c r="AU10" s="280"/>
      <c r="AV10" s="280"/>
      <c r="AW10" s="280"/>
      <c r="AX10" s="280"/>
      <c r="AY10" s="280"/>
      <c r="AZ10" s="280"/>
      <c r="BA10" s="281"/>
      <c r="BB10" s="261"/>
      <c r="BC10" s="261"/>
      <c r="BD10" s="261"/>
      <c r="BE10" s="278"/>
      <c r="BF10" s="279"/>
      <c r="BG10" s="279"/>
      <c r="BH10" s="279"/>
      <c r="BI10" s="279"/>
      <c r="BJ10" s="280"/>
      <c r="BK10" s="280"/>
      <c r="BL10" s="280"/>
      <c r="BM10" s="280"/>
      <c r="BN10" s="280"/>
      <c r="BO10" s="280"/>
      <c r="BP10" s="280"/>
      <c r="BQ10" s="280"/>
      <c r="BR10" s="281"/>
      <c r="BS10" s="261"/>
      <c r="BT10" s="274"/>
      <c r="BU10" s="830"/>
      <c r="BV10" s="579"/>
      <c r="BW10" s="580"/>
      <c r="BX10" s="580"/>
      <c r="BY10" s="580"/>
      <c r="BZ10" s="580"/>
      <c r="CA10" s="580"/>
      <c r="CB10" s="581"/>
      <c r="CC10" s="581"/>
      <c r="CD10" s="581"/>
      <c r="CE10" s="581"/>
      <c r="CF10" s="581"/>
      <c r="CG10" s="581"/>
      <c r="CH10" s="581"/>
      <c r="CI10" s="582"/>
      <c r="CJ10" s="274"/>
      <c r="CK10" s="261"/>
      <c r="CL10" s="261"/>
      <c r="CM10" s="579"/>
      <c r="CN10" s="580"/>
      <c r="CO10" s="580"/>
      <c r="CP10" s="580"/>
      <c r="CQ10" s="580"/>
      <c r="CR10" s="580"/>
      <c r="CS10" s="581"/>
      <c r="CT10" s="581"/>
      <c r="CU10" s="581"/>
      <c r="CV10" s="581"/>
      <c r="CW10" s="581"/>
      <c r="CX10" s="581"/>
      <c r="CY10" s="581"/>
      <c r="CZ10" s="581"/>
      <c r="DA10" s="581"/>
      <c r="DB10" s="582"/>
      <c r="DC10" s="261"/>
      <c r="DD10" s="261"/>
      <c r="DE10" s="261"/>
      <c r="DF10" s="261"/>
      <c r="DG10" s="261"/>
      <c r="DH10" s="261"/>
      <c r="DI10" s="261"/>
      <c r="DJ10" s="261"/>
      <c r="DK10" s="261"/>
      <c r="DL10" s="261"/>
      <c r="DM10" s="261"/>
      <c r="DN10" s="261"/>
      <c r="DO10" s="261"/>
    </row>
    <row r="11" spans="1:119" s="7" customFormat="1" ht="11.25" customHeight="1">
      <c r="A11" s="1073"/>
      <c r="B11" s="1073"/>
      <c r="C11" s="1073"/>
      <c r="D11" s="1073"/>
      <c r="E11" s="432">
        <f>ZRB!G4</f>
        <v>1</v>
      </c>
      <c r="F11" s="544"/>
      <c r="G11" s="1066" t="s">
        <v>353</v>
      </c>
      <c r="H11" s="1067"/>
      <c r="I11" s="1067"/>
      <c r="J11" s="1067"/>
      <c r="K11" s="1067"/>
      <c r="L11" s="1081">
        <f>IF(E9=1,"Bitte neue Version laden !!",IF(P13&gt;E15,"keine Berechnung !",""))</f>
      </c>
      <c r="M11" s="1081"/>
      <c r="N11" s="1081"/>
      <c r="O11" s="1081"/>
      <c r="P11" s="1081"/>
      <c r="Q11" s="1081"/>
      <c r="R11" s="1081"/>
      <c r="S11" s="1082"/>
      <c r="T11" s="547"/>
      <c r="U11" s="273"/>
      <c r="V11" s="961" t="s">
        <v>300</v>
      </c>
      <c r="W11" s="962"/>
      <c r="X11" s="962"/>
      <c r="Y11" s="962"/>
      <c r="Z11" s="962"/>
      <c r="AA11" s="962"/>
      <c r="AB11" s="962"/>
      <c r="AC11" s="962"/>
      <c r="AD11" s="962"/>
      <c r="AE11" s="962"/>
      <c r="AF11" s="962"/>
      <c r="AG11" s="962"/>
      <c r="AH11" s="962"/>
      <c r="AI11" s="962"/>
      <c r="AJ11" s="962"/>
      <c r="AK11" s="963"/>
      <c r="AL11" s="261"/>
      <c r="AM11" s="261"/>
      <c r="AN11" s="432">
        <f>ZRB!G5</f>
        <v>1</v>
      </c>
      <c r="AO11" s="971" t="s">
        <v>309</v>
      </c>
      <c r="AP11" s="972"/>
      <c r="AQ11" s="972"/>
      <c r="AR11" s="972"/>
      <c r="AS11" s="972"/>
      <c r="AT11" s="972"/>
      <c r="AU11" s="973">
        <f>IF(ZRB!G6&lt;=0,"",ROUND(ZRB!G57/ZRB!G6,0))</f>
      </c>
      <c r="AV11" s="973"/>
      <c r="AW11" s="973"/>
      <c r="AX11" s="976">
        <f>ROUND(ZRB!G57,0)</f>
        <v>0</v>
      </c>
      <c r="AY11" s="976"/>
      <c r="AZ11" s="976"/>
      <c r="BA11" s="296"/>
      <c r="BB11" s="261"/>
      <c r="BC11" s="261"/>
      <c r="BD11" s="261"/>
      <c r="BE11" s="961" t="s">
        <v>274</v>
      </c>
      <c r="BF11" s="962"/>
      <c r="BG11" s="962"/>
      <c r="BH11" s="962"/>
      <c r="BI11" s="962"/>
      <c r="BJ11" s="962"/>
      <c r="BK11" s="962"/>
      <c r="BL11" s="962"/>
      <c r="BM11" s="962"/>
      <c r="BN11" s="962"/>
      <c r="BO11" s="962"/>
      <c r="BP11" s="962"/>
      <c r="BQ11" s="962"/>
      <c r="BR11" s="963"/>
      <c r="BS11" s="261"/>
      <c r="BT11" s="274"/>
      <c r="BU11" s="830"/>
      <c r="BV11" s="936" t="s">
        <v>570</v>
      </c>
      <c r="BW11" s="937"/>
      <c r="BX11" s="937"/>
      <c r="BY11" s="937"/>
      <c r="BZ11" s="937"/>
      <c r="CA11" s="937"/>
      <c r="CB11" s="937"/>
      <c r="CC11" s="937"/>
      <c r="CD11" s="937"/>
      <c r="CE11" s="937"/>
      <c r="CF11" s="937"/>
      <c r="CG11" s="937"/>
      <c r="CH11" s="937"/>
      <c r="CI11" s="952"/>
      <c r="CJ11" s="274"/>
      <c r="CK11" s="261"/>
      <c r="CL11" s="261"/>
      <c r="CM11" s="936" t="s">
        <v>332</v>
      </c>
      <c r="CN11" s="937"/>
      <c r="CO11" s="937"/>
      <c r="CP11" s="937"/>
      <c r="CQ11" s="937"/>
      <c r="CR11" s="937"/>
      <c r="CS11" s="937"/>
      <c r="CT11" s="937"/>
      <c r="CU11" s="937"/>
      <c r="CV11" s="935" t="str">
        <f>"("&amp;ROUND(ZRB!I31*100,2)&amp;"%; "&amp;ROUND(ZRB!G31,0)&amp;" kWh)"</f>
        <v>(0%; 0 kWh)</v>
      </c>
      <c r="CW11" s="935"/>
      <c r="CX11" s="935"/>
      <c r="CY11" s="934">
        <f>IF(AN11=1,"",ZRB!G86)</f>
      </c>
      <c r="CZ11" s="934"/>
      <c r="DA11" s="934"/>
      <c r="DB11" s="583"/>
      <c r="DC11" s="261"/>
      <c r="DD11" s="261"/>
      <c r="DE11" s="261"/>
      <c r="DF11" s="261"/>
      <c r="DG11" s="261"/>
      <c r="DH11" s="261"/>
      <c r="DI11" s="261"/>
      <c r="DJ11" s="261"/>
      <c r="DK11" s="261"/>
      <c r="DL11" s="261"/>
      <c r="DM11" s="261"/>
      <c r="DN11" s="261"/>
      <c r="DO11" s="261"/>
    </row>
    <row r="12" spans="1:119" s="7" customFormat="1" ht="2.25" customHeight="1">
      <c r="A12" s="1073"/>
      <c r="B12" s="1073"/>
      <c r="C12" s="1073"/>
      <c r="D12" s="1073"/>
      <c r="E12" s="265"/>
      <c r="F12" s="544"/>
      <c r="G12" s="1066"/>
      <c r="H12" s="1067"/>
      <c r="I12" s="1067"/>
      <c r="J12" s="1067"/>
      <c r="K12" s="1067"/>
      <c r="L12" s="540"/>
      <c r="M12" s="540"/>
      <c r="N12" s="540"/>
      <c r="O12" s="541"/>
      <c r="P12" s="541"/>
      <c r="Q12" s="541"/>
      <c r="R12" s="541"/>
      <c r="S12" s="542"/>
      <c r="T12" s="547"/>
      <c r="U12" s="273"/>
      <c r="V12" s="961"/>
      <c r="W12" s="962"/>
      <c r="X12" s="962"/>
      <c r="Y12" s="962"/>
      <c r="Z12" s="962"/>
      <c r="AA12" s="962"/>
      <c r="AB12" s="962"/>
      <c r="AC12" s="962"/>
      <c r="AD12" s="962"/>
      <c r="AE12" s="962"/>
      <c r="AF12" s="962"/>
      <c r="AG12" s="962"/>
      <c r="AH12" s="962"/>
      <c r="AI12" s="962"/>
      <c r="AJ12" s="962"/>
      <c r="AK12" s="963"/>
      <c r="AL12" s="261"/>
      <c r="AM12" s="261"/>
      <c r="AN12" s="345"/>
      <c r="AO12" s="971"/>
      <c r="AP12" s="972"/>
      <c r="AQ12" s="972"/>
      <c r="AR12" s="972"/>
      <c r="AS12" s="972"/>
      <c r="AT12" s="972"/>
      <c r="AU12" s="973"/>
      <c r="AV12" s="973"/>
      <c r="AW12" s="973"/>
      <c r="AX12" s="976"/>
      <c r="AY12" s="976"/>
      <c r="AZ12" s="976"/>
      <c r="BA12" s="296"/>
      <c r="BB12" s="261"/>
      <c r="BC12" s="261"/>
      <c r="BD12" s="261"/>
      <c r="BE12" s="961"/>
      <c r="BF12" s="962"/>
      <c r="BG12" s="962"/>
      <c r="BH12" s="962"/>
      <c r="BI12" s="962"/>
      <c r="BJ12" s="962"/>
      <c r="BK12" s="962"/>
      <c r="BL12" s="962"/>
      <c r="BM12" s="962"/>
      <c r="BN12" s="962"/>
      <c r="BO12" s="962"/>
      <c r="BP12" s="962"/>
      <c r="BQ12" s="962"/>
      <c r="BR12" s="963"/>
      <c r="BS12" s="261"/>
      <c r="BT12" s="274"/>
      <c r="BU12" s="830"/>
      <c r="BV12" s="936"/>
      <c r="BW12" s="937"/>
      <c r="BX12" s="937"/>
      <c r="BY12" s="937"/>
      <c r="BZ12" s="937"/>
      <c r="CA12" s="937"/>
      <c r="CB12" s="937"/>
      <c r="CC12" s="937"/>
      <c r="CD12" s="937"/>
      <c r="CE12" s="937"/>
      <c r="CF12" s="937"/>
      <c r="CG12" s="937"/>
      <c r="CH12" s="937"/>
      <c r="CI12" s="952"/>
      <c r="CJ12" s="274"/>
      <c r="CK12" s="261"/>
      <c r="CL12" s="261"/>
      <c r="CM12" s="936"/>
      <c r="CN12" s="937"/>
      <c r="CO12" s="937"/>
      <c r="CP12" s="937"/>
      <c r="CQ12" s="937"/>
      <c r="CR12" s="937"/>
      <c r="CS12" s="937"/>
      <c r="CT12" s="937"/>
      <c r="CU12" s="937"/>
      <c r="CV12" s="935"/>
      <c r="CW12" s="935"/>
      <c r="CX12" s="935"/>
      <c r="CY12" s="934"/>
      <c r="CZ12" s="934"/>
      <c r="DA12" s="934"/>
      <c r="DB12" s="583"/>
      <c r="DC12" s="261"/>
      <c r="DD12" s="261"/>
      <c r="DE12" s="261"/>
      <c r="DF12" s="261"/>
      <c r="DG12" s="261"/>
      <c r="DH12" s="261"/>
      <c r="DI12" s="261"/>
      <c r="DJ12" s="261"/>
      <c r="DK12" s="261"/>
      <c r="DL12" s="261"/>
      <c r="DM12" s="261"/>
      <c r="DN12" s="261"/>
      <c r="DO12" s="261"/>
    </row>
    <row r="13" spans="1:119" s="7" customFormat="1" ht="11.25" customHeight="1">
      <c r="A13" s="1073"/>
      <c r="B13" s="1073"/>
      <c r="C13" s="1073"/>
      <c r="D13" s="1073"/>
      <c r="E13" s="265">
        <f>ZRB!G6</f>
        <v>0</v>
      </c>
      <c r="F13" s="668"/>
      <c r="G13" s="411"/>
      <c r="H13" s="1056" t="s">
        <v>59</v>
      </c>
      <c r="I13" s="1056"/>
      <c r="J13" s="1056"/>
      <c r="K13" s="1056"/>
      <c r="L13" s="524"/>
      <c r="M13" s="255"/>
      <c r="N13" s="255"/>
      <c r="O13" s="277">
        <f>IF(ZRB!G6&lt;0,"negative Leistungsangabe unzulässig !  ","")</f>
      </c>
      <c r="P13" s="1089"/>
      <c r="Q13" s="1089"/>
      <c r="R13" s="1089"/>
      <c r="S13" s="282"/>
      <c r="T13" s="547"/>
      <c r="U13" s="273"/>
      <c r="V13" s="961"/>
      <c r="W13" s="962"/>
      <c r="X13" s="962"/>
      <c r="Y13" s="962"/>
      <c r="Z13" s="962"/>
      <c r="AA13" s="962"/>
      <c r="AB13" s="962"/>
      <c r="AC13" s="962"/>
      <c r="AD13" s="962"/>
      <c r="AE13" s="962"/>
      <c r="AF13" s="962"/>
      <c r="AG13" s="962"/>
      <c r="AH13" s="962"/>
      <c r="AI13" s="962"/>
      <c r="AJ13" s="962"/>
      <c r="AK13" s="963"/>
      <c r="AL13" s="261"/>
      <c r="AM13" s="261"/>
      <c r="AN13" s="345"/>
      <c r="AO13" s="971"/>
      <c r="AP13" s="972"/>
      <c r="AQ13" s="972"/>
      <c r="AR13" s="972"/>
      <c r="AS13" s="972"/>
      <c r="AT13" s="972"/>
      <c r="AU13" s="973"/>
      <c r="AV13" s="973"/>
      <c r="AW13" s="973"/>
      <c r="AX13" s="976"/>
      <c r="AY13" s="976"/>
      <c r="AZ13" s="976"/>
      <c r="BA13" s="296"/>
      <c r="BB13" s="261"/>
      <c r="BC13" s="261"/>
      <c r="BD13" s="261"/>
      <c r="BE13" s="961"/>
      <c r="BF13" s="962"/>
      <c r="BG13" s="962"/>
      <c r="BH13" s="962"/>
      <c r="BI13" s="962"/>
      <c r="BJ13" s="962"/>
      <c r="BK13" s="962"/>
      <c r="BL13" s="962"/>
      <c r="BM13" s="962"/>
      <c r="BN13" s="962"/>
      <c r="BO13" s="962"/>
      <c r="BP13" s="962"/>
      <c r="BQ13" s="962"/>
      <c r="BR13" s="963"/>
      <c r="BS13" s="261"/>
      <c r="BT13" s="274"/>
      <c r="BU13" s="830"/>
      <c r="BV13" s="936"/>
      <c r="BW13" s="937"/>
      <c r="BX13" s="937"/>
      <c r="BY13" s="937"/>
      <c r="BZ13" s="937"/>
      <c r="CA13" s="937"/>
      <c r="CB13" s="937"/>
      <c r="CC13" s="937"/>
      <c r="CD13" s="937"/>
      <c r="CE13" s="937"/>
      <c r="CF13" s="937"/>
      <c r="CG13" s="937"/>
      <c r="CH13" s="937"/>
      <c r="CI13" s="952"/>
      <c r="CJ13" s="274"/>
      <c r="CK13" s="261"/>
      <c r="CL13" s="261"/>
      <c r="CM13" s="936"/>
      <c r="CN13" s="937"/>
      <c r="CO13" s="937"/>
      <c r="CP13" s="937"/>
      <c r="CQ13" s="937"/>
      <c r="CR13" s="937"/>
      <c r="CS13" s="937"/>
      <c r="CT13" s="937"/>
      <c r="CU13" s="937"/>
      <c r="CV13" s="935"/>
      <c r="CW13" s="935"/>
      <c r="CX13" s="935"/>
      <c r="CY13" s="934"/>
      <c r="CZ13" s="934"/>
      <c r="DA13" s="934"/>
      <c r="DB13" s="583"/>
      <c r="DC13" s="261"/>
      <c r="DD13" s="261"/>
      <c r="DE13" s="261"/>
      <c r="DF13" s="261"/>
      <c r="DG13" s="261"/>
      <c r="DH13" s="261"/>
      <c r="DI13" s="261"/>
      <c r="DJ13" s="261"/>
      <c r="DK13" s="261"/>
      <c r="DL13" s="261"/>
      <c r="DM13" s="261"/>
      <c r="DN13" s="261"/>
      <c r="DO13" s="261"/>
    </row>
    <row r="14" spans="1:119" s="7" customFormat="1" ht="2.25" customHeight="1">
      <c r="A14" s="597"/>
      <c r="B14" s="597"/>
      <c r="C14" s="597"/>
      <c r="D14" s="597"/>
      <c r="E14" s="265"/>
      <c r="F14" s="668"/>
      <c r="G14" s="411"/>
      <c r="H14" s="1056"/>
      <c r="I14" s="1056"/>
      <c r="J14" s="1056"/>
      <c r="K14" s="1056"/>
      <c r="L14" s="524"/>
      <c r="M14" s="255"/>
      <c r="N14" s="255"/>
      <c r="O14" s="253"/>
      <c r="P14" s="256"/>
      <c r="Q14" s="270"/>
      <c r="R14" s="270"/>
      <c r="S14" s="282"/>
      <c r="T14" s="547"/>
      <c r="U14" s="273"/>
      <c r="V14" s="508"/>
      <c r="W14" s="379"/>
      <c r="X14" s="379"/>
      <c r="Y14" s="379"/>
      <c r="Z14" s="379"/>
      <c r="AA14" s="379"/>
      <c r="AB14" s="379"/>
      <c r="AC14" s="379"/>
      <c r="AD14" s="379"/>
      <c r="AE14" s="379"/>
      <c r="AF14" s="379"/>
      <c r="AG14" s="379"/>
      <c r="AH14" s="379"/>
      <c r="AI14" s="379"/>
      <c r="AJ14" s="379"/>
      <c r="AK14" s="509"/>
      <c r="AL14" s="261"/>
      <c r="AM14" s="261"/>
      <c r="AN14" s="345"/>
      <c r="AO14" s="410"/>
      <c r="AP14" s="974" t="s">
        <v>203</v>
      </c>
      <c r="AQ14" s="974"/>
      <c r="AR14" s="974"/>
      <c r="AS14" s="974"/>
      <c r="AT14" s="974"/>
      <c r="AU14" s="974"/>
      <c r="AV14" s="975" t="str">
        <f>IF(ZRB!G6&lt;=0,"keine Anlage erfasst !!",ROUND(ZRB!G42,0))</f>
        <v>keine Anlage erfasst !!</v>
      </c>
      <c r="AW14" s="975"/>
      <c r="AX14" s="975"/>
      <c r="AY14" s="965">
        <f>ZRB!G41</f>
        <v>0</v>
      </c>
      <c r="AZ14" s="965"/>
      <c r="BA14" s="454"/>
      <c r="BB14" s="261"/>
      <c r="BC14" s="261"/>
      <c r="BD14" s="261"/>
      <c r="BE14" s="568"/>
      <c r="BF14" s="569"/>
      <c r="BG14" s="569"/>
      <c r="BH14" s="569"/>
      <c r="BI14" s="569"/>
      <c r="BJ14" s="569"/>
      <c r="BK14" s="569"/>
      <c r="BL14" s="569"/>
      <c r="BM14" s="569"/>
      <c r="BN14" s="569"/>
      <c r="BO14" s="569"/>
      <c r="BP14" s="569"/>
      <c r="BQ14" s="569"/>
      <c r="BR14" s="570"/>
      <c r="BS14" s="261"/>
      <c r="BT14" s="274"/>
      <c r="BU14" s="830"/>
      <c r="BV14" s="832"/>
      <c r="BW14" s="274"/>
      <c r="BX14" s="274"/>
      <c r="BY14" s="274"/>
      <c r="BZ14" s="274"/>
      <c r="CA14" s="274"/>
      <c r="CB14" s="274"/>
      <c r="CC14" s="274"/>
      <c r="CD14" s="274"/>
      <c r="CE14" s="274"/>
      <c r="CF14" s="274"/>
      <c r="CG14" s="274"/>
      <c r="CH14" s="274"/>
      <c r="CI14" s="833"/>
      <c r="CJ14" s="274"/>
      <c r="CK14" s="261"/>
      <c r="CL14" s="261"/>
      <c r="CM14" s="584"/>
      <c r="CN14" s="390"/>
      <c r="CO14" s="1119" t="s">
        <v>313</v>
      </c>
      <c r="CP14" s="1119"/>
      <c r="CQ14" s="1119"/>
      <c r="CR14" s="1119"/>
      <c r="CS14" s="1119"/>
      <c r="CT14" s="1119"/>
      <c r="CU14" s="1119"/>
      <c r="CV14" s="1119"/>
      <c r="CW14" s="1119"/>
      <c r="CX14" s="1119"/>
      <c r="CY14" s="1122">
        <f>IF(AN11=1,"",ZRB!G79)</f>
      </c>
      <c r="CZ14" s="1122"/>
      <c r="DA14" s="1122"/>
      <c r="DB14" s="585"/>
      <c r="DC14" s="261"/>
      <c r="DD14" s="261"/>
      <c r="DE14" s="261"/>
      <c r="DF14" s="261"/>
      <c r="DG14" s="261"/>
      <c r="DH14" s="261"/>
      <c r="DI14" s="261"/>
      <c r="DJ14" s="261"/>
      <c r="DK14" s="261"/>
      <c r="DL14" s="261"/>
      <c r="DM14" s="261"/>
      <c r="DN14" s="261"/>
      <c r="DO14" s="261"/>
    </row>
    <row r="15" spans="1:119" s="7" customFormat="1" ht="11.25" customHeight="1">
      <c r="A15" s="597"/>
      <c r="B15" s="597"/>
      <c r="C15" s="597"/>
      <c r="D15" s="597"/>
      <c r="E15" s="346">
        <f>IF(ZRB!G9&gt;0,ZRB!G9,1000000000)</f>
        <v>500</v>
      </c>
      <c r="F15" s="668"/>
      <c r="G15" s="411"/>
      <c r="H15" s="1056" t="s">
        <v>168</v>
      </c>
      <c r="I15" s="1056"/>
      <c r="J15" s="1056"/>
      <c r="K15" s="1056"/>
      <c r="L15" s="533"/>
      <c r="M15" s="259"/>
      <c r="N15" s="268" t="s">
        <v>301</v>
      </c>
      <c r="O15" s="253"/>
      <c r="P15" s="1069" t="str">
        <f>ZRB!G10</f>
        <v>Dachanlage</v>
      </c>
      <c r="Q15" s="1070"/>
      <c r="R15" s="1071"/>
      <c r="S15" s="282"/>
      <c r="T15" s="546"/>
      <c r="U15" s="275"/>
      <c r="V15" s="402"/>
      <c r="W15" s="977">
        <f>IF(E11=1,"","Durchschnittlicher Tagesertrag einer "&amp;ROUND(ZRB!G6,1)&amp;" kWp-Anlage  ( in kWh/Tag)")</f>
      </c>
      <c r="X15" s="977"/>
      <c r="Y15" s="977"/>
      <c r="Z15" s="977"/>
      <c r="AA15" s="977"/>
      <c r="AB15" s="977"/>
      <c r="AC15" s="977"/>
      <c r="AD15" s="977"/>
      <c r="AE15" s="977"/>
      <c r="AF15" s="977"/>
      <c r="AG15" s="977"/>
      <c r="AH15" s="977"/>
      <c r="AI15" s="977"/>
      <c r="AJ15" s="977"/>
      <c r="AK15" s="978"/>
      <c r="AL15" s="261"/>
      <c r="AM15" s="261"/>
      <c r="AN15" s="345"/>
      <c r="AO15" s="410"/>
      <c r="AP15" s="974"/>
      <c r="AQ15" s="974"/>
      <c r="AR15" s="974"/>
      <c r="AS15" s="974"/>
      <c r="AT15" s="974"/>
      <c r="AU15" s="974"/>
      <c r="AV15" s="975"/>
      <c r="AW15" s="975"/>
      <c r="AX15" s="975"/>
      <c r="AY15" s="965"/>
      <c r="AZ15" s="965"/>
      <c r="BA15" s="454"/>
      <c r="BB15" s="261"/>
      <c r="BC15" s="261"/>
      <c r="BD15" s="261"/>
      <c r="BE15" s="568"/>
      <c r="BF15" s="569"/>
      <c r="BG15" s="569"/>
      <c r="BH15" s="569"/>
      <c r="BI15" s="569"/>
      <c r="BJ15" s="569"/>
      <c r="BK15" s="569"/>
      <c r="BL15" s="569"/>
      <c r="BM15" s="569"/>
      <c r="BN15" s="569"/>
      <c r="BO15" s="569"/>
      <c r="BP15" s="569"/>
      <c r="BQ15" s="569"/>
      <c r="BR15" s="570"/>
      <c r="BS15" s="261"/>
      <c r="BT15" s="274"/>
      <c r="BU15" s="830"/>
      <c r="BV15" s="836"/>
      <c r="BW15" s="261"/>
      <c r="BX15" s="261"/>
      <c r="BY15" s="261"/>
      <c r="BZ15" s="261"/>
      <c r="CA15" s="261"/>
      <c r="CB15" s="261"/>
      <c r="CC15" s="261"/>
      <c r="CD15" s="261"/>
      <c r="CE15" s="261"/>
      <c r="CF15" s="261"/>
      <c r="CG15" s="261"/>
      <c r="CH15" s="261"/>
      <c r="CI15" s="835"/>
      <c r="CJ15" s="274"/>
      <c r="CK15" s="261"/>
      <c r="CL15" s="261"/>
      <c r="CM15" s="442"/>
      <c r="CN15" s="390"/>
      <c r="CO15" s="1119"/>
      <c r="CP15" s="1119"/>
      <c r="CQ15" s="1119"/>
      <c r="CR15" s="1119"/>
      <c r="CS15" s="1119"/>
      <c r="CT15" s="1119"/>
      <c r="CU15" s="1119"/>
      <c r="CV15" s="1119"/>
      <c r="CW15" s="1119"/>
      <c r="CX15" s="1119"/>
      <c r="CY15" s="1122"/>
      <c r="CZ15" s="1122"/>
      <c r="DA15" s="1122"/>
      <c r="DB15" s="443"/>
      <c r="DC15" s="261"/>
      <c r="DD15" s="261"/>
      <c r="DE15" s="261"/>
      <c r="DF15" s="261"/>
      <c r="DG15" s="261"/>
      <c r="DH15" s="261"/>
      <c r="DI15" s="261"/>
      <c r="DJ15" s="261"/>
      <c r="DK15" s="261"/>
      <c r="DL15" s="261"/>
      <c r="DM15" s="261"/>
      <c r="DN15" s="261"/>
      <c r="DO15" s="261"/>
    </row>
    <row r="16" spans="1:119" s="7" customFormat="1" ht="2.25" customHeight="1">
      <c r="A16" s="495"/>
      <c r="B16" s="497"/>
      <c r="C16" s="496"/>
      <c r="D16" s="495"/>
      <c r="E16" s="265"/>
      <c r="F16" s="668"/>
      <c r="G16" s="411"/>
      <c r="H16" s="1056"/>
      <c r="I16" s="1056"/>
      <c r="J16" s="1056"/>
      <c r="K16" s="1056"/>
      <c r="L16" s="533"/>
      <c r="M16" s="259"/>
      <c r="N16" s="258"/>
      <c r="O16" s="253"/>
      <c r="P16" s="270"/>
      <c r="Q16" s="270"/>
      <c r="R16" s="270"/>
      <c r="S16" s="282"/>
      <c r="T16" s="546"/>
      <c r="U16" s="275"/>
      <c r="V16" s="402"/>
      <c r="W16" s="977"/>
      <c r="X16" s="977"/>
      <c r="Y16" s="977"/>
      <c r="Z16" s="977"/>
      <c r="AA16" s="977"/>
      <c r="AB16" s="977"/>
      <c r="AC16" s="977"/>
      <c r="AD16" s="977"/>
      <c r="AE16" s="977"/>
      <c r="AF16" s="977"/>
      <c r="AG16" s="977"/>
      <c r="AH16" s="977"/>
      <c r="AI16" s="977"/>
      <c r="AJ16" s="977"/>
      <c r="AK16" s="978"/>
      <c r="AL16" s="261"/>
      <c r="AM16" s="261"/>
      <c r="AN16" s="345"/>
      <c r="AO16" s="410"/>
      <c r="AP16" s="974"/>
      <c r="AQ16" s="974"/>
      <c r="AR16" s="974"/>
      <c r="AS16" s="974"/>
      <c r="AT16" s="974"/>
      <c r="AU16" s="974"/>
      <c r="AV16" s="975"/>
      <c r="AW16" s="975"/>
      <c r="AX16" s="975"/>
      <c r="AY16" s="965"/>
      <c r="AZ16" s="965"/>
      <c r="BA16" s="454"/>
      <c r="BB16" s="261"/>
      <c r="BC16" s="261"/>
      <c r="BD16" s="261"/>
      <c r="BE16" s="1046" t="s">
        <v>274</v>
      </c>
      <c r="BF16" s="1047"/>
      <c r="BG16" s="1047"/>
      <c r="BH16" s="1047"/>
      <c r="BI16" s="1047"/>
      <c r="BJ16" s="1047"/>
      <c r="BK16" s="254"/>
      <c r="BL16" s="254"/>
      <c r="BM16" s="254"/>
      <c r="BN16" s="254"/>
      <c r="BO16" s="253"/>
      <c r="BP16" s="253"/>
      <c r="BQ16" s="253"/>
      <c r="BR16" s="347"/>
      <c r="BS16" s="261"/>
      <c r="BT16" s="274"/>
      <c r="BU16" s="830"/>
      <c r="BV16" s="834"/>
      <c r="BW16" s="261"/>
      <c r="BX16" s="261"/>
      <c r="BY16" s="261"/>
      <c r="BZ16" s="261"/>
      <c r="CA16" s="261"/>
      <c r="CB16" s="261"/>
      <c r="CC16" s="261"/>
      <c r="CD16" s="261"/>
      <c r="CE16" s="261"/>
      <c r="CF16" s="261"/>
      <c r="CG16" s="261"/>
      <c r="CH16" s="261"/>
      <c r="CI16" s="835"/>
      <c r="CJ16" s="274"/>
      <c r="CK16" s="261"/>
      <c r="CL16" s="261"/>
      <c r="CM16" s="442"/>
      <c r="CN16" s="390"/>
      <c r="CO16" s="1120" t="s">
        <v>336</v>
      </c>
      <c r="CP16" s="1120"/>
      <c r="CQ16" s="1120"/>
      <c r="CR16" s="1120"/>
      <c r="CS16" s="1120"/>
      <c r="CT16" s="1120"/>
      <c r="CU16" s="1120"/>
      <c r="CV16" s="1120"/>
      <c r="CW16" s="1120"/>
      <c r="CX16" s="1120"/>
      <c r="CY16" s="1122">
        <f>IF(AN11=1,"",ZRB!G82*-1)</f>
      </c>
      <c r="CZ16" s="1122"/>
      <c r="DA16" s="1122"/>
      <c r="DB16" s="443"/>
      <c r="DC16" s="261"/>
      <c r="DD16" s="261"/>
      <c r="DE16" s="261"/>
      <c r="DF16" s="261"/>
      <c r="DG16" s="261"/>
      <c r="DH16" s="261"/>
      <c r="DI16" s="261"/>
      <c r="DJ16" s="261"/>
      <c r="DK16" s="261"/>
      <c r="DL16" s="261"/>
      <c r="DM16" s="261"/>
      <c r="DN16" s="261"/>
      <c r="DO16" s="261"/>
    </row>
    <row r="17" spans="1:119" s="7" customFormat="1" ht="11.25" customHeight="1">
      <c r="A17" s="495"/>
      <c r="B17" s="497"/>
      <c r="C17" s="496"/>
      <c r="D17" s="495"/>
      <c r="E17" s="265">
        <v>1</v>
      </c>
      <c r="F17" s="668"/>
      <c r="G17" s="411"/>
      <c r="H17" s="1056" t="s">
        <v>347</v>
      </c>
      <c r="I17" s="1056"/>
      <c r="J17" s="1056"/>
      <c r="K17" s="1056"/>
      <c r="L17" s="533"/>
      <c r="M17" s="259"/>
      <c r="N17" s="268"/>
      <c r="O17" s="268" t="s">
        <v>302</v>
      </c>
      <c r="P17" s="1069" t="str">
        <f>ZRB!G11</f>
        <v>Stuttgart</v>
      </c>
      <c r="Q17" s="1070"/>
      <c r="R17" s="1071"/>
      <c r="S17" s="282"/>
      <c r="T17" s="546"/>
      <c r="U17" s="275"/>
      <c r="V17" s="994" t="s">
        <v>267</v>
      </c>
      <c r="W17" s="995"/>
      <c r="X17" s="995"/>
      <c r="Y17" s="995"/>
      <c r="Z17" s="993">
        <f>IF(E11=1,"","(Orientierungswerte)")</f>
      </c>
      <c r="AA17" s="993"/>
      <c r="AB17" s="993"/>
      <c r="AC17" s="993"/>
      <c r="AD17" s="993"/>
      <c r="AE17" s="993"/>
      <c r="AF17" s="993"/>
      <c r="AG17" s="993"/>
      <c r="AH17" s="993"/>
      <c r="AI17" s="993"/>
      <c r="AJ17" s="316"/>
      <c r="AK17" s="377"/>
      <c r="AL17" s="261"/>
      <c r="AM17" s="261"/>
      <c r="AO17" s="410"/>
      <c r="AP17" s="251" t="s">
        <v>314</v>
      </c>
      <c r="AQ17" s="251"/>
      <c r="AR17" s="252"/>
      <c r="AS17" s="267"/>
      <c r="AT17" s="253"/>
      <c r="AU17" s="253"/>
      <c r="AV17" s="253"/>
      <c r="AW17" s="253"/>
      <c r="AX17" s="268" t="s">
        <v>58</v>
      </c>
      <c r="AY17" s="954"/>
      <c r="AZ17" s="954"/>
      <c r="BA17" s="452"/>
      <c r="BB17" s="261"/>
      <c r="BC17" s="261"/>
      <c r="BD17" s="261"/>
      <c r="BE17" s="1046"/>
      <c r="BF17" s="1047"/>
      <c r="BG17" s="1047"/>
      <c r="BH17" s="1047"/>
      <c r="BI17" s="1047"/>
      <c r="BJ17" s="1047"/>
      <c r="BK17" s="254"/>
      <c r="BL17" s="254"/>
      <c r="BM17" s="254"/>
      <c r="BN17" s="254"/>
      <c r="BO17" s="253"/>
      <c r="BP17" s="253"/>
      <c r="BQ17" s="253"/>
      <c r="BR17" s="347"/>
      <c r="BS17" s="261"/>
      <c r="BT17" s="274"/>
      <c r="BU17" s="844">
        <f>ZRB!G105</f>
        <v>2</v>
      </c>
      <c r="BV17" s="837" t="str">
        <f>IF(BU19=1,"Anlagen bis max. 10 kWp sind von der EEG-Umlagepflicht befreit !",IF(BU17=2,"Wer künftig PV-Strom selbst verbraucht muss für diesen Eigenverbrauch eine anteilige EEG-","Für Bestandsanlagen (Anlagen mit Inbetriebnahme vor 01.08.2014) besteht keine"))</f>
        <v>Anlagen bis max. 10 kWp sind von der EEG-Umlagepflicht befreit !</v>
      </c>
      <c r="BW17" s="261"/>
      <c r="BX17" s="261"/>
      <c r="BY17" s="261"/>
      <c r="BZ17" s="261"/>
      <c r="CA17" s="261"/>
      <c r="CB17" s="261"/>
      <c r="CC17" s="261"/>
      <c r="CD17" s="261"/>
      <c r="CE17" s="261"/>
      <c r="CF17" s="261"/>
      <c r="CG17" s="261"/>
      <c r="CH17" s="261"/>
      <c r="CI17" s="835"/>
      <c r="CJ17" s="274"/>
      <c r="CK17" s="261"/>
      <c r="CL17" s="261"/>
      <c r="CM17" s="442"/>
      <c r="CN17" s="390"/>
      <c r="CO17" s="1120"/>
      <c r="CP17" s="1120"/>
      <c r="CQ17" s="1120"/>
      <c r="CR17" s="1120"/>
      <c r="CS17" s="1120"/>
      <c r="CT17" s="1120"/>
      <c r="CU17" s="1120"/>
      <c r="CV17" s="1120"/>
      <c r="CW17" s="1120"/>
      <c r="CX17" s="1120"/>
      <c r="CY17" s="1122"/>
      <c r="CZ17" s="1122"/>
      <c r="DA17" s="1122"/>
      <c r="DB17" s="443"/>
      <c r="DC17" s="261"/>
      <c r="DD17" s="261"/>
      <c r="DE17" s="261"/>
      <c r="DF17" s="261"/>
      <c r="DG17" s="261"/>
      <c r="DH17" s="261"/>
      <c r="DI17" s="261"/>
      <c r="DJ17" s="261"/>
      <c r="DK17" s="261"/>
      <c r="DL17" s="261"/>
      <c r="DM17" s="261"/>
      <c r="DN17" s="261"/>
      <c r="DO17" s="261"/>
    </row>
    <row r="18" spans="1:119" s="7" customFormat="1" ht="2.25" customHeight="1">
      <c r="A18" s="495"/>
      <c r="B18" s="497"/>
      <c r="C18" s="496"/>
      <c r="D18" s="495"/>
      <c r="E18" s="265"/>
      <c r="F18" s="668"/>
      <c r="G18" s="411"/>
      <c r="H18" s="1056"/>
      <c r="I18" s="1056"/>
      <c r="J18" s="1056"/>
      <c r="K18" s="1056"/>
      <c r="L18" s="533"/>
      <c r="M18" s="259"/>
      <c r="N18" s="258"/>
      <c r="O18" s="253"/>
      <c r="P18" s="270"/>
      <c r="Q18" s="270"/>
      <c r="R18" s="270"/>
      <c r="S18" s="282"/>
      <c r="T18" s="546"/>
      <c r="U18" s="275"/>
      <c r="V18" s="319"/>
      <c r="W18" s="419"/>
      <c r="X18" s="310"/>
      <c r="Y18" s="311"/>
      <c r="Z18" s="316"/>
      <c r="AA18" s="316"/>
      <c r="AB18" s="316"/>
      <c r="AC18" s="316"/>
      <c r="AD18" s="316"/>
      <c r="AE18" s="316"/>
      <c r="AF18" s="316"/>
      <c r="AG18" s="316"/>
      <c r="AH18" s="316"/>
      <c r="AI18" s="316"/>
      <c r="AJ18" s="316"/>
      <c r="AK18" s="377"/>
      <c r="AL18" s="261"/>
      <c r="AM18" s="261"/>
      <c r="AN18" s="345"/>
      <c r="AO18" s="410"/>
      <c r="AP18" s="251"/>
      <c r="AQ18" s="250"/>
      <c r="AR18" s="252"/>
      <c r="AS18" s="252"/>
      <c r="AT18" s="253"/>
      <c r="AU18" s="253"/>
      <c r="AV18" s="253"/>
      <c r="AW18" s="253"/>
      <c r="AX18" s="269"/>
      <c r="AY18" s="270"/>
      <c r="AZ18" s="270"/>
      <c r="BA18" s="428"/>
      <c r="BB18" s="261"/>
      <c r="BC18" s="261"/>
      <c r="BD18" s="261"/>
      <c r="BE18" s="1046"/>
      <c r="BF18" s="1047"/>
      <c r="BG18" s="1047"/>
      <c r="BH18" s="1047"/>
      <c r="BI18" s="1047"/>
      <c r="BJ18" s="1047"/>
      <c r="BK18" s="254"/>
      <c r="BL18" s="254"/>
      <c r="BM18" s="254"/>
      <c r="BN18" s="254"/>
      <c r="BO18" s="253"/>
      <c r="BP18" s="253"/>
      <c r="BQ18" s="253"/>
      <c r="BR18" s="347"/>
      <c r="BS18" s="261"/>
      <c r="BT18" s="274"/>
      <c r="BU18" s="830"/>
      <c r="BV18" s="837"/>
      <c r="BW18" s="261"/>
      <c r="BX18" s="261"/>
      <c r="BY18" s="261"/>
      <c r="BZ18" s="261"/>
      <c r="CA18" s="261"/>
      <c r="CB18" s="261"/>
      <c r="CC18" s="261"/>
      <c r="CD18" s="261"/>
      <c r="CE18" s="261"/>
      <c r="CF18" s="261"/>
      <c r="CG18" s="261"/>
      <c r="CH18" s="261"/>
      <c r="CI18" s="835"/>
      <c r="CJ18" s="274"/>
      <c r="CK18" s="261"/>
      <c r="CL18" s="261"/>
      <c r="CM18" s="442"/>
      <c r="CN18" s="390"/>
      <c r="CO18" s="1121" t="s">
        <v>335</v>
      </c>
      <c r="CP18" s="1121"/>
      <c r="CQ18" s="1121"/>
      <c r="CR18" s="1121"/>
      <c r="CS18" s="1121"/>
      <c r="CT18" s="1121"/>
      <c r="CU18" s="1121"/>
      <c r="CV18" s="1121"/>
      <c r="CW18" s="1121"/>
      <c r="CX18" s="1121"/>
      <c r="CY18" s="1122">
        <f>IF(AN11=1,"",ZRB!G85*-1)</f>
      </c>
      <c r="CZ18" s="1122"/>
      <c r="DA18" s="1122"/>
      <c r="DB18" s="443"/>
      <c r="DC18" s="261"/>
      <c r="DD18" s="261"/>
      <c r="DE18" s="261"/>
      <c r="DF18" s="261"/>
      <c r="DG18" s="261"/>
      <c r="DH18" s="261"/>
      <c r="DI18" s="261"/>
      <c r="DJ18" s="261"/>
      <c r="DK18" s="261"/>
      <c r="DL18" s="261"/>
      <c r="DM18" s="261"/>
      <c r="DN18" s="261"/>
      <c r="DO18" s="261"/>
    </row>
    <row r="19" spans="1:119" s="7" customFormat="1" ht="11.25" customHeight="1">
      <c r="A19" s="495"/>
      <c r="B19" s="497"/>
      <c r="C19" s="496"/>
      <c r="D19" s="495"/>
      <c r="E19" s="265">
        <v>10</v>
      </c>
      <c r="F19" s="668"/>
      <c r="G19" s="411"/>
      <c r="H19" s="1056" t="s">
        <v>312</v>
      </c>
      <c r="I19" s="1056"/>
      <c r="J19" s="1056"/>
      <c r="K19" s="1056"/>
      <c r="L19" s="1056"/>
      <c r="M19" s="416"/>
      <c r="N19" s="268" t="s">
        <v>303</v>
      </c>
      <c r="O19" s="253"/>
      <c r="P19" s="1069" t="str">
        <f>ZRB!G12</f>
        <v>August  2014</v>
      </c>
      <c r="Q19" s="1070"/>
      <c r="R19" s="1071"/>
      <c r="S19" s="282"/>
      <c r="T19" s="546"/>
      <c r="U19" s="275"/>
      <c r="V19" s="991">
        <f>Grafik_Ertrag!E24</f>
        <v>0</v>
      </c>
      <c r="W19" s="992"/>
      <c r="X19" s="992"/>
      <c r="Y19" s="311"/>
      <c r="Z19" s="311"/>
      <c r="AA19" s="312"/>
      <c r="AB19" s="312"/>
      <c r="AC19" s="312"/>
      <c r="AD19" s="312"/>
      <c r="AE19" s="312"/>
      <c r="AF19" s="312"/>
      <c r="AG19" s="312"/>
      <c r="AH19" s="312"/>
      <c r="AI19" s="312"/>
      <c r="AJ19" s="312"/>
      <c r="AK19" s="313"/>
      <c r="AL19" s="261"/>
      <c r="AM19" s="261"/>
      <c r="AN19" s="433">
        <f>ZRB!G33</f>
        <v>0</v>
      </c>
      <c r="AO19" s="410"/>
      <c r="AP19" s="251" t="s">
        <v>278</v>
      </c>
      <c r="AQ19" s="251"/>
      <c r="AR19" s="252"/>
      <c r="AS19" s="267"/>
      <c r="AT19" s="253"/>
      <c r="AU19" s="253"/>
      <c r="AV19" s="253"/>
      <c r="AW19" s="253"/>
      <c r="AX19" s="268" t="s">
        <v>58</v>
      </c>
      <c r="AY19" s="954"/>
      <c r="AZ19" s="954"/>
      <c r="BA19" s="452"/>
      <c r="BB19" s="261"/>
      <c r="BC19" s="261"/>
      <c r="BD19" s="261"/>
      <c r="BE19" s="567"/>
      <c r="BF19" s="254"/>
      <c r="BG19" s="254"/>
      <c r="BH19" s="254"/>
      <c r="BI19" s="254"/>
      <c r="BJ19" s="254"/>
      <c r="BK19" s="254"/>
      <c r="BL19" s="254"/>
      <c r="BM19" s="254"/>
      <c r="BN19" s="254"/>
      <c r="BO19" s="253"/>
      <c r="BP19" s="253"/>
      <c r="BQ19" s="253"/>
      <c r="BR19" s="347"/>
      <c r="BS19" s="261"/>
      <c r="BT19" s="274"/>
      <c r="BU19" s="844">
        <f>ZRB!G106</f>
        <v>1</v>
      </c>
      <c r="BV19" s="837">
        <f>IF(BU19=1,"",IF(BU17=2,"Umlage abführen (i.d.R. gültig für Neuanlagen mit Inbetriebnahme ab 01.08.2014;","EEG-Umlagepflicht !"))</f>
      </c>
      <c r="BW19" s="261"/>
      <c r="BX19" s="261"/>
      <c r="BY19" s="261"/>
      <c r="BZ19" s="261"/>
      <c r="CA19" s="261"/>
      <c r="CB19" s="261"/>
      <c r="CC19" s="261"/>
      <c r="CD19" s="261"/>
      <c r="CE19" s="261"/>
      <c r="CF19" s="261"/>
      <c r="CG19" s="261"/>
      <c r="CH19" s="261"/>
      <c r="CI19" s="835"/>
      <c r="CJ19" s="274"/>
      <c r="CK19" s="261"/>
      <c r="CL19" s="261"/>
      <c r="CM19" s="586"/>
      <c r="CN19" s="390"/>
      <c r="CO19" s="1121"/>
      <c r="CP19" s="1121"/>
      <c r="CQ19" s="1121"/>
      <c r="CR19" s="1121"/>
      <c r="CS19" s="1121"/>
      <c r="CT19" s="1121"/>
      <c r="CU19" s="1121"/>
      <c r="CV19" s="1121"/>
      <c r="CW19" s="1121"/>
      <c r="CX19" s="1121"/>
      <c r="CY19" s="1122"/>
      <c r="CZ19" s="1122"/>
      <c r="DA19" s="1122"/>
      <c r="DB19" s="443"/>
      <c r="DC19" s="261"/>
      <c r="DD19" s="261"/>
      <c r="DE19" s="261"/>
      <c r="DF19" s="261"/>
      <c r="DG19" s="261"/>
      <c r="DH19" s="261"/>
      <c r="DI19" s="261"/>
      <c r="DJ19" s="261"/>
      <c r="DK19" s="261"/>
      <c r="DL19" s="261"/>
      <c r="DM19" s="261"/>
      <c r="DN19" s="261"/>
      <c r="DO19" s="261"/>
    </row>
    <row r="20" spans="1:119" s="7" customFormat="1" ht="2.25" customHeight="1" thickBot="1">
      <c r="A20" s="495"/>
      <c r="B20" s="497"/>
      <c r="C20" s="496"/>
      <c r="D20" s="495"/>
      <c r="E20" s="265"/>
      <c r="F20" s="668"/>
      <c r="G20" s="411"/>
      <c r="H20" s="1056"/>
      <c r="I20" s="1056"/>
      <c r="J20" s="1056"/>
      <c r="K20" s="1056"/>
      <c r="L20" s="1056"/>
      <c r="M20" s="416"/>
      <c r="N20" s="255"/>
      <c r="O20" s="255"/>
      <c r="P20" s="255"/>
      <c r="Q20" s="255"/>
      <c r="R20" s="255"/>
      <c r="S20" s="412"/>
      <c r="T20" s="546"/>
      <c r="U20" s="275"/>
      <c r="V20" s="991"/>
      <c r="W20" s="992"/>
      <c r="X20" s="992"/>
      <c r="Y20" s="311"/>
      <c r="Z20" s="311"/>
      <c r="AA20" s="314"/>
      <c r="AB20" s="314"/>
      <c r="AC20" s="315"/>
      <c r="AD20" s="315"/>
      <c r="AE20" s="315"/>
      <c r="AF20" s="315"/>
      <c r="AG20" s="316"/>
      <c r="AH20" s="316"/>
      <c r="AI20" s="317"/>
      <c r="AJ20" s="317"/>
      <c r="AK20" s="313"/>
      <c r="AL20" s="261"/>
      <c r="AM20" s="261"/>
      <c r="AN20" s="345"/>
      <c r="AO20" s="410"/>
      <c r="AP20" s="251"/>
      <c r="AQ20" s="250"/>
      <c r="AR20" s="252"/>
      <c r="AS20" s="252"/>
      <c r="AT20" s="253"/>
      <c r="AU20" s="253"/>
      <c r="AV20" s="253"/>
      <c r="AW20" s="253"/>
      <c r="AX20" s="269"/>
      <c r="AY20" s="270"/>
      <c r="AZ20" s="270"/>
      <c r="BA20" s="428"/>
      <c r="BB20" s="261"/>
      <c r="BC20" s="261"/>
      <c r="BD20" s="261"/>
      <c r="BE20" s="567"/>
      <c r="BF20" s="254"/>
      <c r="BG20" s="254"/>
      <c r="BH20" s="254"/>
      <c r="BI20" s="254"/>
      <c r="BJ20" s="254"/>
      <c r="BK20" s="254"/>
      <c r="BL20" s="254"/>
      <c r="BM20" s="254"/>
      <c r="BN20" s="254"/>
      <c r="BO20" s="253"/>
      <c r="BP20" s="253"/>
      <c r="BQ20" s="253"/>
      <c r="BR20" s="347"/>
      <c r="BS20" s="261"/>
      <c r="BT20" s="274"/>
      <c r="BU20" s="830"/>
      <c r="BV20" s="837"/>
      <c r="BW20" s="261"/>
      <c r="BX20" s="261"/>
      <c r="BY20" s="261"/>
      <c r="BZ20" s="261"/>
      <c r="CA20" s="261"/>
      <c r="CB20" s="261"/>
      <c r="CC20" s="261"/>
      <c r="CD20" s="261"/>
      <c r="CE20" s="261"/>
      <c r="CF20" s="261"/>
      <c r="CG20" s="261"/>
      <c r="CH20" s="261"/>
      <c r="CI20" s="835"/>
      <c r="CJ20" s="274"/>
      <c r="CK20" s="261"/>
      <c r="CL20" s="261"/>
      <c r="CM20" s="462"/>
      <c r="CN20" s="316"/>
      <c r="CO20" s="754"/>
      <c r="CP20" s="754"/>
      <c r="CQ20" s="754"/>
      <c r="CR20" s="754"/>
      <c r="CS20" s="754"/>
      <c r="CT20" s="754"/>
      <c r="CU20" s="754"/>
      <c r="CV20" s="754"/>
      <c r="CW20" s="754"/>
      <c r="CX20" s="316"/>
      <c r="CY20" s="755"/>
      <c r="CZ20" s="755"/>
      <c r="DA20" s="755"/>
      <c r="DB20" s="377"/>
      <c r="DC20" s="261"/>
      <c r="DD20" s="261"/>
      <c r="DE20" s="261"/>
      <c r="DF20" s="261"/>
      <c r="DG20" s="261"/>
      <c r="DH20" s="261"/>
      <c r="DI20" s="261"/>
      <c r="DJ20" s="261"/>
      <c r="DK20" s="261"/>
      <c r="DL20" s="261"/>
      <c r="DM20" s="261"/>
      <c r="DN20" s="261"/>
      <c r="DO20" s="261"/>
    </row>
    <row r="21" spans="1:119" s="7" customFormat="1" ht="11.25" customHeight="1" thickTop="1">
      <c r="A21" s="495"/>
      <c r="B21" s="1076" t="s">
        <v>342</v>
      </c>
      <c r="C21" s="1077"/>
      <c r="D21" s="495"/>
      <c r="E21" s="265">
        <v>68</v>
      </c>
      <c r="F21" s="668"/>
      <c r="G21" s="504"/>
      <c r="H21" s="505"/>
      <c r="I21" s="505"/>
      <c r="J21" s="505"/>
      <c r="K21" s="505"/>
      <c r="L21" s="505"/>
      <c r="M21" s="505"/>
      <c r="N21" s="505"/>
      <c r="O21" s="505"/>
      <c r="P21" s="505"/>
      <c r="Q21" s="505"/>
      <c r="R21" s="505"/>
      <c r="S21" s="506"/>
      <c r="T21" s="546"/>
      <c r="U21" s="275"/>
      <c r="V21" s="991"/>
      <c r="W21" s="992"/>
      <c r="X21" s="992"/>
      <c r="Y21" s="311"/>
      <c r="Z21" s="311"/>
      <c r="AA21" s="314"/>
      <c r="AB21" s="314"/>
      <c r="AC21" s="315"/>
      <c r="AD21" s="315"/>
      <c r="AE21" s="315"/>
      <c r="AF21" s="315"/>
      <c r="AG21" s="316"/>
      <c r="AH21" s="316"/>
      <c r="AI21" s="317"/>
      <c r="AJ21" s="317"/>
      <c r="AK21" s="313"/>
      <c r="AL21" s="261"/>
      <c r="AM21" s="261"/>
      <c r="AN21" s="345"/>
      <c r="AO21" s="410"/>
      <c r="AP21" s="251" t="s">
        <v>325</v>
      </c>
      <c r="AQ21" s="251"/>
      <c r="AR21" s="252"/>
      <c r="AS21" s="267"/>
      <c r="AT21" s="253"/>
      <c r="AU21" s="253"/>
      <c r="AV21" s="253"/>
      <c r="AW21" s="253"/>
      <c r="AX21" s="268" t="s">
        <v>58</v>
      </c>
      <c r="AY21" s="954"/>
      <c r="AZ21" s="954"/>
      <c r="BA21" s="452"/>
      <c r="BB21" s="261"/>
      <c r="BC21" s="261"/>
      <c r="BD21" s="261"/>
      <c r="BE21" s="487"/>
      <c r="BF21" s="565" t="s">
        <v>331</v>
      </c>
      <c r="BG21" s="565"/>
      <c r="BH21" s="565"/>
      <c r="BI21" s="960" t="str">
        <f>"("&amp;ROUND(ZRB!G18,0)&amp;" kWh/kWp; incl. "&amp;ROUND(ZRB!G20,3)*100&amp;"% Systemalterung)"</f>
        <v>(930 kWh/kWp; incl. 0,5% Systemalterung)</v>
      </c>
      <c r="BJ21" s="960"/>
      <c r="BK21" s="960"/>
      <c r="BL21" s="960"/>
      <c r="BM21" s="960"/>
      <c r="BN21" s="960"/>
      <c r="BO21" s="955">
        <f>ZRB!G23</f>
        <v>0</v>
      </c>
      <c r="BP21" s="955"/>
      <c r="BQ21" s="955"/>
      <c r="BR21" s="347"/>
      <c r="BS21" s="261"/>
      <c r="BT21" s="274"/>
      <c r="BU21" s="830"/>
      <c r="BV21" s="837">
        <f>IF(OR(BU17=1,BU19=1),"","Sonderregelungen siehe EEG 2014)")</f>
      </c>
      <c r="BW21" s="261"/>
      <c r="BX21" s="261"/>
      <c r="BY21" s="261"/>
      <c r="BZ21" s="261"/>
      <c r="CA21" s="261"/>
      <c r="CB21" s="261"/>
      <c r="CC21" s="261"/>
      <c r="CD21" s="261"/>
      <c r="CE21" s="261"/>
      <c r="CF21" s="261"/>
      <c r="CG21" s="261"/>
      <c r="CH21" s="261"/>
      <c r="CI21" s="835"/>
      <c r="CJ21" s="274"/>
      <c r="CK21" s="261"/>
      <c r="CL21" s="261"/>
      <c r="CM21" s="462"/>
      <c r="CN21" s="753"/>
      <c r="CO21" s="1129">
        <f>IF(AN11=1,""," &gt; Die Kosten des Eigenstroms bei einem Eigenverbrauch von 
    "&amp;ROUND(ZRB!G30,0)&amp;" kWh ("&amp;ROUND(ZRB!I31,2)*100&amp;"%) liegen incl. "&amp;ROUND(ZRB!G112*100,2)&amp;" Cent/kWh EEG-Umlage bei:")</f>
      </c>
      <c r="CP21" s="1130"/>
      <c r="CQ21" s="1130"/>
      <c r="CR21" s="1130"/>
      <c r="CS21" s="1130"/>
      <c r="CT21" s="1130"/>
      <c r="CU21" s="1130"/>
      <c r="CV21" s="1130"/>
      <c r="CW21" s="1130"/>
      <c r="CX21" s="1130"/>
      <c r="CY21" s="1123">
        <f>IF(AN19=1,"",IF(AN11=1,"",ZRB!G113*100))</f>
      </c>
      <c r="CZ21" s="1123"/>
      <c r="DA21" s="1124"/>
      <c r="DB21" s="377"/>
      <c r="DC21" s="261"/>
      <c r="DD21" s="261"/>
      <c r="DE21" s="261"/>
      <c r="DF21" s="261"/>
      <c r="DG21" s="261"/>
      <c r="DH21" s="261"/>
      <c r="DI21" s="261"/>
      <c r="DJ21" s="261"/>
      <c r="DK21" s="261"/>
      <c r="DL21" s="261"/>
      <c r="DM21" s="261"/>
      <c r="DN21" s="261"/>
      <c r="DO21" s="261"/>
    </row>
    <row r="22" spans="1:119" s="7" customFormat="1" ht="2.25" customHeight="1">
      <c r="A22" s="495"/>
      <c r="B22" s="1078"/>
      <c r="C22" s="1079"/>
      <c r="D22" s="495"/>
      <c r="E22" s="265"/>
      <c r="F22" s="544"/>
      <c r="G22" s="278"/>
      <c r="H22" s="279"/>
      <c r="I22" s="279"/>
      <c r="J22" s="279"/>
      <c r="K22" s="279"/>
      <c r="L22" s="279"/>
      <c r="M22" s="279"/>
      <c r="N22" s="279"/>
      <c r="O22" s="280"/>
      <c r="P22" s="280"/>
      <c r="Q22" s="280"/>
      <c r="R22" s="280"/>
      <c r="S22" s="281"/>
      <c r="T22" s="546"/>
      <c r="U22" s="275"/>
      <c r="V22" s="320"/>
      <c r="W22" s="318"/>
      <c r="X22" s="318"/>
      <c r="Y22" s="311"/>
      <c r="Z22" s="311"/>
      <c r="AA22" s="314"/>
      <c r="AB22" s="314"/>
      <c r="AC22" s="315"/>
      <c r="AD22" s="315"/>
      <c r="AE22" s="315"/>
      <c r="AF22" s="315"/>
      <c r="AG22" s="316"/>
      <c r="AH22" s="316"/>
      <c r="AI22" s="317"/>
      <c r="AJ22" s="317"/>
      <c r="AK22" s="313"/>
      <c r="AL22" s="261"/>
      <c r="AM22" s="261"/>
      <c r="AN22" s="345"/>
      <c r="AO22" s="410"/>
      <c r="AP22" s="251"/>
      <c r="AQ22" s="250"/>
      <c r="AR22" s="250"/>
      <c r="AS22" s="250"/>
      <c r="AT22" s="250"/>
      <c r="AU22" s="250"/>
      <c r="AV22" s="250"/>
      <c r="AW22" s="253"/>
      <c r="AX22" s="250"/>
      <c r="AY22" s="270"/>
      <c r="AZ22" s="270"/>
      <c r="BA22" s="428"/>
      <c r="BB22" s="261"/>
      <c r="BC22" s="261"/>
      <c r="BD22" s="261"/>
      <c r="BE22" s="488"/>
      <c r="BF22" s="565"/>
      <c r="BG22" s="565"/>
      <c r="BH22" s="565"/>
      <c r="BI22" s="960"/>
      <c r="BJ22" s="960"/>
      <c r="BK22" s="960"/>
      <c r="BL22" s="960"/>
      <c r="BM22" s="960"/>
      <c r="BN22" s="960"/>
      <c r="BO22" s="955"/>
      <c r="BP22" s="955"/>
      <c r="BQ22" s="955"/>
      <c r="BR22" s="347"/>
      <c r="BS22" s="261"/>
      <c r="BT22" s="274"/>
      <c r="BU22" s="830"/>
      <c r="BV22" s="836"/>
      <c r="BW22" s="261"/>
      <c r="BX22" s="261"/>
      <c r="BY22" s="261"/>
      <c r="BZ22" s="261"/>
      <c r="CA22" s="261"/>
      <c r="CB22" s="261"/>
      <c r="CC22" s="261"/>
      <c r="CD22" s="261"/>
      <c r="CE22" s="261"/>
      <c r="CF22" s="261"/>
      <c r="CG22" s="261"/>
      <c r="CH22" s="261"/>
      <c r="CI22" s="835"/>
      <c r="CJ22" s="274"/>
      <c r="CK22" s="261"/>
      <c r="CL22" s="261"/>
      <c r="CM22" s="462"/>
      <c r="CN22" s="753"/>
      <c r="CO22" s="1131"/>
      <c r="CP22" s="1132"/>
      <c r="CQ22" s="1132"/>
      <c r="CR22" s="1132"/>
      <c r="CS22" s="1132"/>
      <c r="CT22" s="1132"/>
      <c r="CU22" s="1132"/>
      <c r="CV22" s="1132"/>
      <c r="CW22" s="1132"/>
      <c r="CX22" s="1132"/>
      <c r="CY22" s="1125"/>
      <c r="CZ22" s="1125"/>
      <c r="DA22" s="1126"/>
      <c r="DB22" s="377"/>
      <c r="DC22" s="261"/>
      <c r="DD22" s="261"/>
      <c r="DE22" s="261"/>
      <c r="DF22" s="261"/>
      <c r="DG22" s="261"/>
      <c r="DH22" s="261"/>
      <c r="DI22" s="261"/>
      <c r="DJ22" s="261"/>
      <c r="DK22" s="261"/>
      <c r="DL22" s="261"/>
      <c r="DM22" s="261"/>
      <c r="DN22" s="261"/>
      <c r="DO22" s="261"/>
    </row>
    <row r="23" spans="1:119" s="7" customFormat="1" ht="11.25" customHeight="1" thickBot="1">
      <c r="A23" s="495"/>
      <c r="B23" s="1078"/>
      <c r="C23" s="1079"/>
      <c r="D23" s="495"/>
      <c r="E23" s="432">
        <f>IF(AND(E13&gt;0,E27&gt;0),0,1)</f>
        <v>1</v>
      </c>
      <c r="F23" s="544"/>
      <c r="G23" s="1066" t="s">
        <v>354</v>
      </c>
      <c r="H23" s="1067"/>
      <c r="I23" s="1067"/>
      <c r="J23" s="1067"/>
      <c r="K23" s="1067"/>
      <c r="L23" s="399"/>
      <c r="M23" s="399"/>
      <c r="N23" s="399"/>
      <c r="O23" s="529" t="str">
        <f>"(Durchschnitt über "&amp;E33&amp;" Jahre): "</f>
        <v>(Durchschnitt über 20 Jahre): </v>
      </c>
      <c r="P23" s="1068">
        <f>ZRB!G23</f>
        <v>0</v>
      </c>
      <c r="Q23" s="1068"/>
      <c r="R23" s="1068"/>
      <c r="S23" s="296"/>
      <c r="T23" s="546"/>
      <c r="U23" s="275"/>
      <c r="V23" s="991">
        <f>Grafik_Ertrag!E25</f>
        <v>0</v>
      </c>
      <c r="W23" s="992"/>
      <c r="X23" s="992"/>
      <c r="Y23" s="311"/>
      <c r="Z23" s="311"/>
      <c r="AA23" s="314"/>
      <c r="AB23" s="314"/>
      <c r="AC23" s="315"/>
      <c r="AD23" s="315"/>
      <c r="AE23" s="315"/>
      <c r="AF23" s="315"/>
      <c r="AG23" s="316"/>
      <c r="AH23" s="316"/>
      <c r="AI23" s="317"/>
      <c r="AJ23" s="317"/>
      <c r="AK23" s="313"/>
      <c r="AL23" s="261"/>
      <c r="AM23" s="261"/>
      <c r="AN23" s="345"/>
      <c r="AO23" s="410"/>
      <c r="AP23" s="969"/>
      <c r="AQ23" s="969"/>
      <c r="AR23" s="969"/>
      <c r="AS23" s="969"/>
      <c r="AT23" s="969"/>
      <c r="AU23" s="969"/>
      <c r="AV23" s="969"/>
      <c r="AW23" s="969"/>
      <c r="AX23" s="268" t="s">
        <v>307</v>
      </c>
      <c r="AY23" s="954"/>
      <c r="AZ23" s="954"/>
      <c r="BA23" s="452"/>
      <c r="BB23" s="261"/>
      <c r="BC23" s="261"/>
      <c r="BD23" s="261"/>
      <c r="BE23" s="488"/>
      <c r="BF23" s="565" t="s">
        <v>379</v>
      </c>
      <c r="BG23" s="565"/>
      <c r="BH23" s="565"/>
      <c r="BI23" s="565"/>
      <c r="BJ23" s="565"/>
      <c r="BK23" s="565"/>
      <c r="BL23" s="565"/>
      <c r="BM23" s="565"/>
      <c r="BN23" s="564">
        <f>ZRB!I32</f>
        <v>0</v>
      </c>
      <c r="BO23" s="955">
        <f>ZRB!G32</f>
        <v>0</v>
      </c>
      <c r="BP23" s="955"/>
      <c r="BQ23" s="955"/>
      <c r="BR23" s="347"/>
      <c r="BS23" s="261"/>
      <c r="BT23" s="274"/>
      <c r="BU23" s="830"/>
      <c r="BV23" s="836"/>
      <c r="BW23" s="261"/>
      <c r="BX23" s="261"/>
      <c r="BY23" s="261"/>
      <c r="BZ23" s="261"/>
      <c r="CA23" s="261"/>
      <c r="CB23" s="261"/>
      <c r="CC23" s="261"/>
      <c r="CD23" s="261"/>
      <c r="CE23" s="261"/>
      <c r="CF23" s="261"/>
      <c r="CG23" s="261"/>
      <c r="CH23" s="261"/>
      <c r="CI23" s="835"/>
      <c r="CJ23" s="274"/>
      <c r="CK23" s="261"/>
      <c r="CL23" s="261"/>
      <c r="CM23" s="462"/>
      <c r="CN23" s="753"/>
      <c r="CO23" s="1133"/>
      <c r="CP23" s="1134"/>
      <c r="CQ23" s="1134"/>
      <c r="CR23" s="1134"/>
      <c r="CS23" s="1134"/>
      <c r="CT23" s="1134"/>
      <c r="CU23" s="1134"/>
      <c r="CV23" s="1134"/>
      <c r="CW23" s="1134"/>
      <c r="CX23" s="1134"/>
      <c r="CY23" s="1127"/>
      <c r="CZ23" s="1127"/>
      <c r="DA23" s="1128"/>
      <c r="DB23" s="377"/>
      <c r="DC23" s="261"/>
      <c r="DD23" s="261"/>
      <c r="DE23" s="261"/>
      <c r="DF23" s="261"/>
      <c r="DG23" s="261"/>
      <c r="DH23" s="261"/>
      <c r="DI23" s="261"/>
      <c r="DJ23" s="261"/>
      <c r="DK23" s="261"/>
      <c r="DL23" s="261"/>
      <c r="DM23" s="261"/>
      <c r="DN23" s="261"/>
      <c r="DO23" s="261"/>
    </row>
    <row r="24" spans="1:119" s="7" customFormat="1" ht="2.25" customHeight="1" thickBot="1" thickTop="1">
      <c r="A24" s="495"/>
      <c r="B24" s="1078"/>
      <c r="C24" s="1079"/>
      <c r="D24" s="495"/>
      <c r="E24" s="265"/>
      <c r="F24" s="544"/>
      <c r="G24" s="1066"/>
      <c r="H24" s="1067"/>
      <c r="I24" s="1067"/>
      <c r="J24" s="1067"/>
      <c r="K24" s="1067"/>
      <c r="L24" s="399"/>
      <c r="M24" s="399"/>
      <c r="N24" s="399"/>
      <c r="O24" s="399"/>
      <c r="P24" s="398"/>
      <c r="Q24" s="398"/>
      <c r="R24" s="398"/>
      <c r="S24" s="296"/>
      <c r="T24" s="546"/>
      <c r="U24" s="275"/>
      <c r="V24" s="991"/>
      <c r="W24" s="992"/>
      <c r="X24" s="992"/>
      <c r="Y24" s="311"/>
      <c r="Z24" s="311"/>
      <c r="AA24" s="314"/>
      <c r="AB24" s="314"/>
      <c r="AC24" s="315"/>
      <c r="AD24" s="315"/>
      <c r="AE24" s="315"/>
      <c r="AF24" s="315"/>
      <c r="AG24" s="316"/>
      <c r="AH24" s="316"/>
      <c r="AI24" s="317"/>
      <c r="AJ24" s="317"/>
      <c r="AK24" s="313"/>
      <c r="AL24" s="261"/>
      <c r="AM24" s="261"/>
      <c r="AN24" s="345"/>
      <c r="AO24" s="410"/>
      <c r="AP24" s="251"/>
      <c r="AQ24" s="251"/>
      <c r="AR24" s="251"/>
      <c r="AS24" s="251"/>
      <c r="AT24" s="251"/>
      <c r="AU24" s="251"/>
      <c r="AV24" s="251"/>
      <c r="AW24" s="251"/>
      <c r="AX24" s="251"/>
      <c r="AY24" s="270"/>
      <c r="AZ24" s="270"/>
      <c r="BA24" s="428"/>
      <c r="BB24" s="261"/>
      <c r="BC24" s="261"/>
      <c r="BD24" s="261"/>
      <c r="BE24" s="488"/>
      <c r="BF24" s="565"/>
      <c r="BG24" s="565"/>
      <c r="BH24" s="565"/>
      <c r="BI24" s="565"/>
      <c r="BJ24" s="565"/>
      <c r="BK24" s="565"/>
      <c r="BL24" s="565"/>
      <c r="BM24" s="565"/>
      <c r="BN24" s="425"/>
      <c r="BO24" s="955"/>
      <c r="BP24" s="955"/>
      <c r="BQ24" s="955"/>
      <c r="BR24" s="347"/>
      <c r="BS24" s="261"/>
      <c r="BT24" s="274"/>
      <c r="BU24" s="830"/>
      <c r="BV24" s="836"/>
      <c r="BW24" s="261"/>
      <c r="BX24" s="261"/>
      <c r="BY24" s="261"/>
      <c r="BZ24" s="261"/>
      <c r="CA24" s="261"/>
      <c r="CB24" s="261"/>
      <c r="CC24" s="261"/>
      <c r="CD24" s="261"/>
      <c r="CE24" s="261"/>
      <c r="CF24" s="261"/>
      <c r="CG24" s="261"/>
      <c r="CH24" s="261"/>
      <c r="CI24" s="835"/>
      <c r="CJ24" s="274"/>
      <c r="CK24" s="261"/>
      <c r="CL24" s="261"/>
      <c r="CM24" s="462"/>
      <c r="CN24" s="753"/>
      <c r="CO24" s="756"/>
      <c r="CP24" s="756"/>
      <c r="CQ24" s="756"/>
      <c r="CR24" s="756"/>
      <c r="CS24" s="756"/>
      <c r="CT24" s="756"/>
      <c r="CU24" s="756"/>
      <c r="CV24" s="756"/>
      <c r="CW24" s="756"/>
      <c r="CX24" s="757"/>
      <c r="CY24" s="757"/>
      <c r="CZ24" s="757"/>
      <c r="DA24" s="757"/>
      <c r="DB24" s="377"/>
      <c r="DC24" s="261"/>
      <c r="DD24" s="261"/>
      <c r="DE24" s="261"/>
      <c r="DF24" s="261"/>
      <c r="DG24" s="261"/>
      <c r="DH24" s="261"/>
      <c r="DI24" s="261"/>
      <c r="DJ24" s="261"/>
      <c r="DK24" s="261"/>
      <c r="DL24" s="261"/>
      <c r="DM24" s="261"/>
      <c r="DN24" s="261"/>
      <c r="DO24" s="261"/>
    </row>
    <row r="25" spans="1:119" s="7" customFormat="1" ht="11.25" customHeight="1" thickBot="1" thickTop="1">
      <c r="A25" s="495"/>
      <c r="B25" s="1074" t="s">
        <v>364</v>
      </c>
      <c r="C25" s="1075"/>
      <c r="D25" s="495"/>
      <c r="E25" s="265"/>
      <c r="F25" s="544"/>
      <c r="G25" s="410"/>
      <c r="H25" s="524" t="s">
        <v>252</v>
      </c>
      <c r="I25" s="383"/>
      <c r="J25" s="530"/>
      <c r="K25" s="384"/>
      <c r="L25" s="1080">
        <v>930</v>
      </c>
      <c r="M25" s="1080"/>
      <c r="N25" s="255" t="s">
        <v>304</v>
      </c>
      <c r="O25" s="385"/>
      <c r="P25" s="1055">
        <f>ZRB!G19</f>
        <v>0</v>
      </c>
      <c r="Q25" s="1055"/>
      <c r="R25" s="1055"/>
      <c r="S25" s="282"/>
      <c r="T25" s="546"/>
      <c r="U25" s="275"/>
      <c r="V25" s="991"/>
      <c r="W25" s="992"/>
      <c r="X25" s="992"/>
      <c r="Y25" s="311"/>
      <c r="Z25" s="311"/>
      <c r="AA25" s="314"/>
      <c r="AB25" s="314"/>
      <c r="AC25" s="315"/>
      <c r="AD25" s="315"/>
      <c r="AE25" s="315"/>
      <c r="AF25" s="315"/>
      <c r="AG25" s="316"/>
      <c r="AH25" s="316"/>
      <c r="AI25" s="317"/>
      <c r="AJ25" s="317"/>
      <c r="AK25" s="313"/>
      <c r="AL25" s="266"/>
      <c r="AM25" s="266"/>
      <c r="AN25" s="345"/>
      <c r="AO25" s="410"/>
      <c r="AP25" s="969"/>
      <c r="AQ25" s="969"/>
      <c r="AR25" s="969"/>
      <c r="AS25" s="969"/>
      <c r="AT25" s="969"/>
      <c r="AU25" s="969"/>
      <c r="AV25" s="969"/>
      <c r="AW25" s="969"/>
      <c r="AX25" s="268" t="s">
        <v>307</v>
      </c>
      <c r="AY25" s="954"/>
      <c r="AZ25" s="954"/>
      <c r="BA25" s="452"/>
      <c r="BB25" s="266"/>
      <c r="BC25" s="266"/>
      <c r="BD25" s="265">
        <v>30</v>
      </c>
      <c r="BE25" s="488"/>
      <c r="BF25" s="565" t="s">
        <v>333</v>
      </c>
      <c r="BG25" s="565"/>
      <c r="BH25" s="565"/>
      <c r="BI25" s="565"/>
      <c r="BJ25" s="565"/>
      <c r="BK25" s="565"/>
      <c r="BL25" s="565"/>
      <c r="BM25" s="565"/>
      <c r="BN25" s="781">
        <f>ZRB!I31</f>
        <v>0</v>
      </c>
      <c r="BO25" s="955">
        <f>ZRB!G31</f>
        <v>0</v>
      </c>
      <c r="BP25" s="955"/>
      <c r="BQ25" s="955"/>
      <c r="BR25" s="347"/>
      <c r="BS25" s="266"/>
      <c r="BT25" s="274"/>
      <c r="BU25" s="830"/>
      <c r="BV25" s="838">
        <f>IF(OR(BU17=1,BU19=1),"","Zu dieser Regel gibt es 2 generelle Ausnahmen:")</f>
      </c>
      <c r="BW25" s="261"/>
      <c r="BX25" s="261"/>
      <c r="BY25" s="261"/>
      <c r="BZ25" s="261"/>
      <c r="CA25" s="261"/>
      <c r="CB25" s="261"/>
      <c r="CC25" s="261"/>
      <c r="CD25" s="261"/>
      <c r="CE25" s="261"/>
      <c r="CF25" s="261"/>
      <c r="CG25" s="261"/>
      <c r="CH25" s="261"/>
      <c r="CI25" s="835"/>
      <c r="CJ25" s="274"/>
      <c r="CK25" s="266"/>
      <c r="CL25" s="266"/>
      <c r="CM25" s="462"/>
      <c r="CN25" s="451"/>
      <c r="CO25" s="1107">
        <f>IF(AN11=1,""," &gt; Die Vollkosten des PV-Stroms liegen incl. "&amp;ROUND(ZRB!G112*100,2)&amp;" Cent/kWh 
    EEG-Umlage bei (["&amp;ROUND(ZRB!G79,0)&amp;" € / "&amp;ROUND(ZRB!G23,0)&amp;" kWh] +"&amp;ROUND(ZRB!G112*100,2)&amp;" Ct/kWh):")</f>
      </c>
      <c r="CP25" s="1108"/>
      <c r="CQ25" s="1108"/>
      <c r="CR25" s="1108"/>
      <c r="CS25" s="1108"/>
      <c r="CT25" s="1108"/>
      <c r="CU25" s="1108"/>
      <c r="CV25" s="1108"/>
      <c r="CW25" s="1108"/>
      <c r="CX25" s="1113">
        <f>IF(AN11=1,"",ROUND(Grafik_Kosten!K29*100,2))</f>
      </c>
      <c r="CY25" s="1113"/>
      <c r="CZ25" s="1113"/>
      <c r="DA25" s="1114"/>
      <c r="DB25" s="377"/>
      <c r="DC25" s="266"/>
      <c r="DD25" s="266"/>
      <c r="DE25" s="266"/>
      <c r="DF25" s="266"/>
      <c r="DG25" s="266"/>
      <c r="DH25" s="266"/>
      <c r="DI25" s="266"/>
      <c r="DJ25" s="266"/>
      <c r="DK25" s="266"/>
      <c r="DL25" s="266"/>
      <c r="DM25" s="266"/>
      <c r="DN25" s="266"/>
      <c r="DO25" s="266"/>
    </row>
    <row r="26" spans="1:119" s="7" customFormat="1" ht="2.25" customHeight="1" thickTop="1">
      <c r="A26" s="495"/>
      <c r="B26" s="497"/>
      <c r="C26" s="495"/>
      <c r="D26" s="495"/>
      <c r="E26" s="265"/>
      <c r="F26" s="544"/>
      <c r="G26" s="410"/>
      <c r="H26" s="525"/>
      <c r="I26" s="383"/>
      <c r="J26" s="530"/>
      <c r="K26" s="384"/>
      <c r="L26" s="384"/>
      <c r="M26" s="384"/>
      <c r="N26" s="384"/>
      <c r="O26" s="384"/>
      <c r="P26" s="384"/>
      <c r="Q26" s="384"/>
      <c r="R26" s="531"/>
      <c r="S26" s="282"/>
      <c r="T26" s="546"/>
      <c r="U26" s="275"/>
      <c r="V26" s="320"/>
      <c r="W26" s="318"/>
      <c r="X26" s="318"/>
      <c r="Y26" s="311"/>
      <c r="Z26" s="311"/>
      <c r="AA26" s="314"/>
      <c r="AB26" s="314"/>
      <c r="AC26" s="315"/>
      <c r="AD26" s="315"/>
      <c r="AE26" s="315"/>
      <c r="AF26" s="315"/>
      <c r="AG26" s="316"/>
      <c r="AH26" s="316"/>
      <c r="AI26" s="317"/>
      <c r="AJ26" s="317"/>
      <c r="AK26" s="313"/>
      <c r="AL26" s="266"/>
      <c r="AM26" s="266"/>
      <c r="AN26" s="345"/>
      <c r="AO26" s="410"/>
      <c r="AP26" s="974" t="s">
        <v>253</v>
      </c>
      <c r="AQ26" s="974"/>
      <c r="AR26" s="974"/>
      <c r="AS26" s="974"/>
      <c r="AT26" s="974"/>
      <c r="AU26" s="974"/>
      <c r="AV26" s="975"/>
      <c r="AW26" s="975"/>
      <c r="AX26" s="975"/>
      <c r="AY26" s="966">
        <f>ZRB!G52</f>
        <v>0</v>
      </c>
      <c r="AZ26" s="966"/>
      <c r="BA26" s="967"/>
      <c r="BB26" s="266"/>
      <c r="BC26" s="266"/>
      <c r="BD26" s="266"/>
      <c r="BE26" s="706"/>
      <c r="BF26" s="707"/>
      <c r="BG26" s="707"/>
      <c r="BH26" s="707"/>
      <c r="BI26" s="707"/>
      <c r="BJ26" s="707"/>
      <c r="BK26" s="707"/>
      <c r="BL26" s="707"/>
      <c r="BM26" s="707"/>
      <c r="BN26" s="707"/>
      <c r="BO26" s="956"/>
      <c r="BP26" s="956"/>
      <c r="BQ26" s="956"/>
      <c r="BR26" s="415"/>
      <c r="BS26" s="266"/>
      <c r="BT26" s="274"/>
      <c r="BU26" s="830"/>
      <c r="BV26" s="836"/>
      <c r="BW26" s="261"/>
      <c r="BX26" s="261"/>
      <c r="BY26" s="261"/>
      <c r="BZ26" s="261"/>
      <c r="CA26" s="261"/>
      <c r="CB26" s="261"/>
      <c r="CC26" s="261"/>
      <c r="CD26" s="261"/>
      <c r="CE26" s="261"/>
      <c r="CF26" s="261"/>
      <c r="CG26" s="261"/>
      <c r="CH26" s="261"/>
      <c r="CI26" s="835"/>
      <c r="CJ26" s="274"/>
      <c r="CK26" s="266"/>
      <c r="CL26" s="266"/>
      <c r="CM26" s="462"/>
      <c r="CN26" s="451"/>
      <c r="CO26" s="1109"/>
      <c r="CP26" s="1110"/>
      <c r="CQ26" s="1110"/>
      <c r="CR26" s="1110"/>
      <c r="CS26" s="1110"/>
      <c r="CT26" s="1110"/>
      <c r="CU26" s="1110"/>
      <c r="CV26" s="1110"/>
      <c r="CW26" s="1110"/>
      <c r="CX26" s="1115"/>
      <c r="CY26" s="1115"/>
      <c r="CZ26" s="1115"/>
      <c r="DA26" s="1116"/>
      <c r="DB26" s="377"/>
      <c r="DC26" s="266"/>
      <c r="DD26" s="266"/>
      <c r="DE26" s="266"/>
      <c r="DF26" s="266"/>
      <c r="DG26" s="266"/>
      <c r="DH26" s="266"/>
      <c r="DI26" s="266"/>
      <c r="DJ26" s="266"/>
      <c r="DK26" s="266"/>
      <c r="DL26" s="266"/>
      <c r="DM26" s="266"/>
      <c r="DN26" s="266"/>
      <c r="DO26" s="266"/>
    </row>
    <row r="27" spans="1:119" s="7" customFormat="1" ht="11.25" customHeight="1" thickBot="1">
      <c r="A27" s="495"/>
      <c r="B27" s="497"/>
      <c r="C27" s="495"/>
      <c r="D27" s="495"/>
      <c r="E27" s="265">
        <f>ZRB!G18</f>
        <v>930</v>
      </c>
      <c r="F27" s="544"/>
      <c r="G27" s="410"/>
      <c r="H27" s="526" t="s">
        <v>343</v>
      </c>
      <c r="I27" s="386"/>
      <c r="J27" s="530"/>
      <c r="K27" s="385"/>
      <c r="L27" s="385"/>
      <c r="M27" s="534">
        <v>0.005</v>
      </c>
      <c r="N27" s="255" t="s">
        <v>46</v>
      </c>
      <c r="O27" s="253"/>
      <c r="P27" s="387"/>
      <c r="Q27" s="388"/>
      <c r="R27" s="387"/>
      <c r="S27" s="282"/>
      <c r="T27" s="546"/>
      <c r="U27" s="275"/>
      <c r="V27" s="991">
        <f>Grafik_Ertrag!E26</f>
        <v>0</v>
      </c>
      <c r="W27" s="992"/>
      <c r="X27" s="992"/>
      <c r="Y27" s="311"/>
      <c r="Z27" s="311"/>
      <c r="AA27" s="314"/>
      <c r="AB27" s="314"/>
      <c r="AC27" s="315"/>
      <c r="AD27" s="315"/>
      <c r="AE27" s="315"/>
      <c r="AF27" s="315"/>
      <c r="AG27" s="316"/>
      <c r="AH27" s="316"/>
      <c r="AI27" s="317"/>
      <c r="AJ27" s="317"/>
      <c r="AK27" s="313"/>
      <c r="AL27" s="266"/>
      <c r="AM27" s="266"/>
      <c r="AN27" s="345"/>
      <c r="AO27" s="410"/>
      <c r="AP27" s="974"/>
      <c r="AQ27" s="974"/>
      <c r="AR27" s="974"/>
      <c r="AS27" s="974"/>
      <c r="AT27" s="974"/>
      <c r="AU27" s="974"/>
      <c r="AV27" s="975"/>
      <c r="AW27" s="975"/>
      <c r="AX27" s="975"/>
      <c r="AY27" s="966"/>
      <c r="AZ27" s="966"/>
      <c r="BA27" s="967"/>
      <c r="BB27" s="266"/>
      <c r="BC27" s="266"/>
      <c r="BD27" s="266"/>
      <c r="BE27" s="266"/>
      <c r="BF27" s="266"/>
      <c r="BG27" s="266"/>
      <c r="BH27" s="266"/>
      <c r="BI27" s="266"/>
      <c r="BJ27" s="266"/>
      <c r="BK27" s="266"/>
      <c r="BL27" s="266"/>
      <c r="BM27" s="266"/>
      <c r="BN27" s="266"/>
      <c r="BO27" s="266"/>
      <c r="BP27" s="266"/>
      <c r="BQ27" s="266"/>
      <c r="BR27" s="266"/>
      <c r="BS27" s="266"/>
      <c r="BT27" s="274"/>
      <c r="BU27" s="830"/>
      <c r="BV27" s="837">
        <f>IF(OR(BU17=1,BU19=1),"","&gt; Anlagen bis 10 kWp sind von der EEG-Umlagepflicht befreit. ")</f>
      </c>
      <c r="BW27" s="261"/>
      <c r="BX27" s="261"/>
      <c r="BY27" s="261"/>
      <c r="BZ27" s="261"/>
      <c r="CA27" s="261"/>
      <c r="CB27" s="261"/>
      <c r="CC27" s="261"/>
      <c r="CD27" s="261"/>
      <c r="CE27" s="261"/>
      <c r="CF27" s="261"/>
      <c r="CG27" s="261"/>
      <c r="CH27" s="261"/>
      <c r="CI27" s="835"/>
      <c r="CJ27" s="274"/>
      <c r="CK27" s="266"/>
      <c r="CL27" s="266"/>
      <c r="CM27" s="462"/>
      <c r="CN27" s="451"/>
      <c r="CO27" s="1111"/>
      <c r="CP27" s="1112"/>
      <c r="CQ27" s="1112"/>
      <c r="CR27" s="1112"/>
      <c r="CS27" s="1112"/>
      <c r="CT27" s="1112"/>
      <c r="CU27" s="1112"/>
      <c r="CV27" s="1112"/>
      <c r="CW27" s="1112"/>
      <c r="CX27" s="1117"/>
      <c r="CY27" s="1117"/>
      <c r="CZ27" s="1117"/>
      <c r="DA27" s="1118"/>
      <c r="DB27" s="377"/>
      <c r="DC27" s="266"/>
      <c r="DD27" s="266"/>
      <c r="DE27" s="266"/>
      <c r="DF27" s="266"/>
      <c r="DG27" s="266"/>
      <c r="DH27" s="266"/>
      <c r="DI27" s="266"/>
      <c r="DJ27" s="266"/>
      <c r="DK27" s="266"/>
      <c r="DL27" s="266"/>
      <c r="DM27" s="266"/>
      <c r="DN27" s="266"/>
      <c r="DO27" s="266"/>
    </row>
    <row r="28" spans="1:119" s="7" customFormat="1" ht="2.25" customHeight="1" thickBot="1" thickTop="1">
      <c r="A28" s="495"/>
      <c r="B28" s="497"/>
      <c r="C28" s="495"/>
      <c r="D28" s="495"/>
      <c r="E28" s="265"/>
      <c r="F28" s="544"/>
      <c r="G28" s="410"/>
      <c r="H28" s="525"/>
      <c r="I28" s="386"/>
      <c r="J28" s="530"/>
      <c r="K28" s="385"/>
      <c r="L28" s="385"/>
      <c r="M28" s="385"/>
      <c r="N28" s="385"/>
      <c r="O28" s="253"/>
      <c r="P28" s="388"/>
      <c r="Q28" s="388"/>
      <c r="R28" s="388"/>
      <c r="S28" s="282"/>
      <c r="T28" s="546"/>
      <c r="U28" s="275"/>
      <c r="V28" s="991"/>
      <c r="W28" s="992"/>
      <c r="X28" s="992"/>
      <c r="Y28" s="311"/>
      <c r="Z28" s="311"/>
      <c r="AA28" s="314"/>
      <c r="AB28" s="314"/>
      <c r="AC28" s="315"/>
      <c r="AD28" s="315"/>
      <c r="AE28" s="315"/>
      <c r="AF28" s="315"/>
      <c r="AG28" s="316"/>
      <c r="AH28" s="316"/>
      <c r="AI28" s="317"/>
      <c r="AJ28" s="317"/>
      <c r="AK28" s="313"/>
      <c r="AL28" s="266"/>
      <c r="AM28" s="266"/>
      <c r="AN28" s="345"/>
      <c r="AO28" s="410"/>
      <c r="AP28" s="974"/>
      <c r="AQ28" s="974"/>
      <c r="AR28" s="974"/>
      <c r="AS28" s="974"/>
      <c r="AT28" s="974"/>
      <c r="AU28" s="974"/>
      <c r="AV28" s="975"/>
      <c r="AW28" s="975"/>
      <c r="AX28" s="975"/>
      <c r="AY28" s="966"/>
      <c r="AZ28" s="966"/>
      <c r="BA28" s="967"/>
      <c r="BB28" s="266"/>
      <c r="BC28" s="266"/>
      <c r="BD28" s="266"/>
      <c r="BE28" s="278"/>
      <c r="BF28" s="279"/>
      <c r="BG28" s="279"/>
      <c r="BH28" s="279"/>
      <c r="BI28" s="279"/>
      <c r="BJ28" s="280"/>
      <c r="BK28" s="280"/>
      <c r="BL28" s="280"/>
      <c r="BM28" s="280"/>
      <c r="BN28" s="280"/>
      <c r="BO28" s="280"/>
      <c r="BP28" s="280"/>
      <c r="BQ28" s="280"/>
      <c r="BR28" s="281"/>
      <c r="BS28" s="266"/>
      <c r="BT28" s="274"/>
      <c r="BU28" s="830"/>
      <c r="BV28" s="836"/>
      <c r="BW28" s="261"/>
      <c r="BX28" s="261"/>
      <c r="BY28" s="261"/>
      <c r="BZ28" s="261"/>
      <c r="CA28" s="261"/>
      <c r="CB28" s="261"/>
      <c r="CC28" s="261"/>
      <c r="CD28" s="261"/>
      <c r="CE28" s="261"/>
      <c r="CF28" s="261"/>
      <c r="CG28" s="261"/>
      <c r="CH28" s="261"/>
      <c r="CI28" s="835"/>
      <c r="CJ28" s="274"/>
      <c r="CK28" s="266"/>
      <c r="CL28" s="266"/>
      <c r="CM28" s="462"/>
      <c r="CN28" s="451"/>
      <c r="CO28" s="451"/>
      <c r="CP28" s="379"/>
      <c r="CQ28" s="379"/>
      <c r="CR28" s="758"/>
      <c r="CS28" s="758"/>
      <c r="CT28" s="758"/>
      <c r="CU28" s="758"/>
      <c r="CV28" s="758"/>
      <c r="CW28" s="758"/>
      <c r="CX28" s="316"/>
      <c r="CY28" s="316"/>
      <c r="CZ28" s="316"/>
      <c r="DA28" s="316"/>
      <c r="DB28" s="377"/>
      <c r="DC28" s="266"/>
      <c r="DD28" s="266"/>
      <c r="DE28" s="266"/>
      <c r="DF28" s="266"/>
      <c r="DG28" s="266"/>
      <c r="DH28" s="266"/>
      <c r="DI28" s="266"/>
      <c r="DJ28" s="266"/>
      <c r="DK28" s="266"/>
      <c r="DL28" s="266"/>
      <c r="DM28" s="266"/>
      <c r="DN28" s="266"/>
      <c r="DO28" s="266"/>
    </row>
    <row r="29" spans="1:119" s="7" customFormat="1" ht="11.25" customHeight="1" thickTop="1">
      <c r="A29" s="495"/>
      <c r="B29" s="1076" t="s">
        <v>279</v>
      </c>
      <c r="C29" s="1077"/>
      <c r="D29" s="495"/>
      <c r="E29" s="265"/>
      <c r="F29" s="544"/>
      <c r="G29" s="410"/>
      <c r="H29" s="527" t="s">
        <v>361</v>
      </c>
      <c r="I29" s="507"/>
      <c r="J29" s="530"/>
      <c r="K29" s="385"/>
      <c r="L29" s="385"/>
      <c r="M29" s="1085">
        <f>ZRB!G21</f>
        <v>20</v>
      </c>
      <c r="N29" s="1086"/>
      <c r="O29" s="253"/>
      <c r="P29" s="253"/>
      <c r="Q29" s="253"/>
      <c r="R29" s="253"/>
      <c r="S29" s="282"/>
      <c r="T29" s="546"/>
      <c r="U29" s="275"/>
      <c r="V29" s="991"/>
      <c r="W29" s="992"/>
      <c r="X29" s="992"/>
      <c r="Y29" s="311"/>
      <c r="Z29" s="311"/>
      <c r="AA29" s="314"/>
      <c r="AB29" s="314"/>
      <c r="AC29" s="315"/>
      <c r="AD29" s="315"/>
      <c r="AE29" s="315"/>
      <c r="AF29" s="315"/>
      <c r="AG29" s="316"/>
      <c r="AH29" s="316"/>
      <c r="AI29" s="317"/>
      <c r="AJ29" s="317"/>
      <c r="AK29" s="313"/>
      <c r="AL29" s="266"/>
      <c r="AM29" s="266"/>
      <c r="AN29" s="345"/>
      <c r="AO29" s="410"/>
      <c r="AP29" s="969"/>
      <c r="AQ29" s="969"/>
      <c r="AR29" s="969"/>
      <c r="AS29" s="969"/>
      <c r="AT29" s="969"/>
      <c r="AU29" s="969"/>
      <c r="AV29" s="969"/>
      <c r="AW29" s="969"/>
      <c r="AX29" s="268" t="s">
        <v>307</v>
      </c>
      <c r="AY29" s="954"/>
      <c r="AZ29" s="954"/>
      <c r="BA29" s="452"/>
      <c r="BB29" s="266"/>
      <c r="BC29" s="266"/>
      <c r="BD29" s="266"/>
      <c r="BE29" s="961" t="s">
        <v>383</v>
      </c>
      <c r="BF29" s="962"/>
      <c r="BG29" s="962"/>
      <c r="BH29" s="962"/>
      <c r="BI29" s="962"/>
      <c r="BJ29" s="962"/>
      <c r="BK29" s="962"/>
      <c r="BL29" s="962"/>
      <c r="BM29" s="962"/>
      <c r="BN29" s="962"/>
      <c r="BO29" s="962"/>
      <c r="BP29" s="962"/>
      <c r="BQ29" s="962"/>
      <c r="BR29" s="963"/>
      <c r="BS29" s="266"/>
      <c r="BT29" s="274"/>
      <c r="BU29" s="830"/>
      <c r="BV29" s="837">
        <f>IF(OR(BU17=1,BU19=1),"","   Befreit sind allerdings max. 10.000 kWh (10 MWh) selbst verbrauchten Stroms.")</f>
      </c>
      <c r="BW29" s="261"/>
      <c r="BX29" s="261"/>
      <c r="BY29" s="261"/>
      <c r="BZ29" s="261"/>
      <c r="CA29" s="261"/>
      <c r="CB29" s="261"/>
      <c r="CC29" s="261"/>
      <c r="CD29" s="261"/>
      <c r="CE29" s="261"/>
      <c r="CF29" s="261"/>
      <c r="CG29" s="261"/>
      <c r="CH29" s="261"/>
      <c r="CI29" s="835"/>
      <c r="CJ29" s="274"/>
      <c r="CK29" s="266"/>
      <c r="CL29" s="266"/>
      <c r="CM29" s="1029" t="s">
        <v>293</v>
      </c>
      <c r="CN29" s="1030"/>
      <c r="CO29" s="484"/>
      <c r="CP29" s="378"/>
      <c r="CQ29" s="378"/>
      <c r="CR29" s="378"/>
      <c r="CS29" s="378"/>
      <c r="CT29" s="378"/>
      <c r="CU29" s="378"/>
      <c r="CV29" s="378"/>
      <c r="CW29" s="378"/>
      <c r="CX29" s="378"/>
      <c r="CY29" s="378"/>
      <c r="CZ29" s="378"/>
      <c r="DA29" s="316"/>
      <c r="DB29" s="377"/>
      <c r="DC29" s="266"/>
      <c r="DD29" s="266"/>
      <c r="DE29" s="266"/>
      <c r="DF29" s="266"/>
      <c r="DG29" s="266"/>
      <c r="DH29" s="266"/>
      <c r="DI29" s="266"/>
      <c r="DJ29" s="266"/>
      <c r="DK29" s="266"/>
      <c r="DL29" s="266"/>
      <c r="DM29" s="266"/>
      <c r="DN29" s="266"/>
      <c r="DO29" s="266"/>
    </row>
    <row r="30" spans="1:119" s="7" customFormat="1" ht="2.25" customHeight="1">
      <c r="A30" s="495"/>
      <c r="B30" s="1078"/>
      <c r="C30" s="1079"/>
      <c r="D30" s="495"/>
      <c r="E30" s="265"/>
      <c r="F30" s="544"/>
      <c r="G30" s="410"/>
      <c r="H30" s="527"/>
      <c r="I30" s="536"/>
      <c r="J30" s="530"/>
      <c r="K30" s="385"/>
      <c r="L30" s="385"/>
      <c r="M30" s="385"/>
      <c r="N30" s="385"/>
      <c r="O30" s="253"/>
      <c r="P30" s="535"/>
      <c r="Q30" s="535"/>
      <c r="R30" s="535"/>
      <c r="S30" s="282"/>
      <c r="T30" s="546"/>
      <c r="U30" s="275"/>
      <c r="V30" s="320"/>
      <c r="W30" s="318"/>
      <c r="X30" s="318"/>
      <c r="Y30" s="311"/>
      <c r="Z30" s="311"/>
      <c r="AA30" s="314"/>
      <c r="AB30" s="314"/>
      <c r="AC30" s="315"/>
      <c r="AD30" s="315"/>
      <c r="AE30" s="315"/>
      <c r="AF30" s="315"/>
      <c r="AG30" s="316"/>
      <c r="AH30" s="316"/>
      <c r="AI30" s="317"/>
      <c r="AJ30" s="317"/>
      <c r="AK30" s="313"/>
      <c r="AL30" s="266"/>
      <c r="AM30" s="266"/>
      <c r="AN30" s="345"/>
      <c r="AO30" s="410"/>
      <c r="AP30" s="251"/>
      <c r="AQ30" s="251"/>
      <c r="AR30" s="251"/>
      <c r="AS30" s="251"/>
      <c r="AT30" s="251"/>
      <c r="AU30" s="251"/>
      <c r="AV30" s="251"/>
      <c r="AW30" s="251"/>
      <c r="AX30" s="269"/>
      <c r="AY30" s="270"/>
      <c r="AZ30" s="270"/>
      <c r="BA30" s="428"/>
      <c r="BB30" s="266"/>
      <c r="BC30" s="266"/>
      <c r="BD30" s="266"/>
      <c r="BE30" s="961"/>
      <c r="BF30" s="962"/>
      <c r="BG30" s="962"/>
      <c r="BH30" s="962"/>
      <c r="BI30" s="962"/>
      <c r="BJ30" s="962"/>
      <c r="BK30" s="962"/>
      <c r="BL30" s="962"/>
      <c r="BM30" s="962"/>
      <c r="BN30" s="962"/>
      <c r="BO30" s="962"/>
      <c r="BP30" s="962"/>
      <c r="BQ30" s="962"/>
      <c r="BR30" s="963"/>
      <c r="BS30" s="266"/>
      <c r="BT30" s="274"/>
      <c r="BU30" s="830"/>
      <c r="BV30" s="834"/>
      <c r="BW30" s="261"/>
      <c r="BX30" s="261"/>
      <c r="BY30" s="261"/>
      <c r="BZ30" s="261"/>
      <c r="CA30" s="261"/>
      <c r="CB30" s="261"/>
      <c r="CC30" s="261"/>
      <c r="CD30" s="261"/>
      <c r="CE30" s="261"/>
      <c r="CF30" s="261"/>
      <c r="CG30" s="261"/>
      <c r="CH30" s="261"/>
      <c r="CI30" s="835"/>
      <c r="CJ30" s="274"/>
      <c r="CK30" s="266"/>
      <c r="CL30" s="266"/>
      <c r="CM30" s="1029"/>
      <c r="CN30" s="1030"/>
      <c r="CO30" s="484"/>
      <c r="CP30" s="378"/>
      <c r="CQ30" s="478"/>
      <c r="CR30" s="478"/>
      <c r="CS30" s="478"/>
      <c r="CT30" s="478"/>
      <c r="CU30" s="478"/>
      <c r="CV30" s="478"/>
      <c r="CW30" s="478"/>
      <c r="CX30" s="478"/>
      <c r="CY30" s="478"/>
      <c r="CZ30" s="478"/>
      <c r="DA30" s="477"/>
      <c r="DB30" s="377"/>
      <c r="DC30" s="266"/>
      <c r="DD30" s="266"/>
      <c r="DE30" s="266"/>
      <c r="DF30" s="266"/>
      <c r="DG30" s="266"/>
      <c r="DH30" s="266"/>
      <c r="DI30" s="266"/>
      <c r="DJ30" s="266"/>
      <c r="DK30" s="266"/>
      <c r="DL30" s="266"/>
      <c r="DM30" s="266"/>
      <c r="DN30" s="266"/>
      <c r="DO30" s="266"/>
    </row>
    <row r="31" spans="1:119" s="7" customFormat="1" ht="11.25" customHeight="1">
      <c r="A31" s="495"/>
      <c r="B31" s="1078"/>
      <c r="C31" s="1079"/>
      <c r="D31" s="495"/>
      <c r="E31" s="265"/>
      <c r="F31" s="544"/>
      <c r="G31" s="410"/>
      <c r="H31" s="527" t="str">
        <f>"Ertrag im "&amp;E33&amp;". Jahr"</f>
        <v>Ertrag im 20. Jahr</v>
      </c>
      <c r="I31" s="536"/>
      <c r="J31" s="530"/>
      <c r="K31" s="385"/>
      <c r="L31" s="385"/>
      <c r="M31" s="385"/>
      <c r="N31" s="385"/>
      <c r="O31" s="253"/>
      <c r="P31" s="1055">
        <f>ZRB!G22</f>
        <v>0</v>
      </c>
      <c r="Q31" s="1055"/>
      <c r="R31" s="1055"/>
      <c r="S31" s="282"/>
      <c r="T31" s="546"/>
      <c r="U31" s="275"/>
      <c r="V31" s="991">
        <f>Grafik_Ertrag!E27</f>
        <v>0</v>
      </c>
      <c r="W31" s="992"/>
      <c r="X31" s="992"/>
      <c r="Y31" s="311"/>
      <c r="Z31" s="311"/>
      <c r="AA31" s="314"/>
      <c r="AB31" s="314"/>
      <c r="AC31" s="315"/>
      <c r="AD31" s="315"/>
      <c r="AE31" s="315"/>
      <c r="AF31" s="315"/>
      <c r="AG31" s="316"/>
      <c r="AH31" s="316"/>
      <c r="AI31" s="317"/>
      <c r="AJ31" s="317"/>
      <c r="AK31" s="313"/>
      <c r="AL31" s="266"/>
      <c r="AM31" s="266"/>
      <c r="AN31" s="265">
        <f>ZRB!G90</f>
        <v>20</v>
      </c>
      <c r="AO31" s="410"/>
      <c r="AP31" s="969"/>
      <c r="AQ31" s="969"/>
      <c r="AR31" s="969"/>
      <c r="AS31" s="969"/>
      <c r="AT31" s="969"/>
      <c r="AU31" s="969"/>
      <c r="AV31" s="969"/>
      <c r="AW31" s="969"/>
      <c r="AX31" s="268" t="s">
        <v>307</v>
      </c>
      <c r="AY31" s="954"/>
      <c r="AZ31" s="954"/>
      <c r="BA31" s="452"/>
      <c r="BB31" s="266"/>
      <c r="BC31" s="266"/>
      <c r="BD31" s="266"/>
      <c r="BE31" s="961"/>
      <c r="BF31" s="962"/>
      <c r="BG31" s="962"/>
      <c r="BH31" s="962"/>
      <c r="BI31" s="962"/>
      <c r="BJ31" s="962"/>
      <c r="BK31" s="962"/>
      <c r="BL31" s="962"/>
      <c r="BM31" s="962"/>
      <c r="BN31" s="962"/>
      <c r="BO31" s="962"/>
      <c r="BP31" s="962"/>
      <c r="BQ31" s="962"/>
      <c r="BR31" s="963"/>
      <c r="BS31" s="266"/>
      <c r="BT31" s="274"/>
      <c r="BU31" s="830"/>
      <c r="BV31" s="837">
        <f>IF(OR(BU17=1,BU19=1),"","&gt; Bestandsanlagen sind von der EEG-Umlagepflicht befreit (mit gewissen Einschränkungen)")</f>
      </c>
      <c r="BW31" s="261"/>
      <c r="BX31" s="261"/>
      <c r="BY31" s="261"/>
      <c r="BZ31" s="261"/>
      <c r="CA31" s="261"/>
      <c r="CB31" s="261"/>
      <c r="CC31" s="261"/>
      <c r="CD31" s="261"/>
      <c r="CE31" s="261"/>
      <c r="CF31" s="261"/>
      <c r="CG31" s="261"/>
      <c r="CH31" s="261"/>
      <c r="CI31" s="835"/>
      <c r="CJ31" s="274"/>
      <c r="CK31" s="266"/>
      <c r="CL31" s="266"/>
      <c r="CM31" s="1029"/>
      <c r="CN31" s="1030"/>
      <c r="CO31" s="484"/>
      <c r="CP31" s="378"/>
      <c r="CQ31" s="478"/>
      <c r="CR31" s="478"/>
      <c r="CS31" s="478"/>
      <c r="CT31" s="478"/>
      <c r="CU31" s="478"/>
      <c r="CV31" s="478"/>
      <c r="CW31" s="478"/>
      <c r="CX31" s="478"/>
      <c r="CY31" s="478"/>
      <c r="CZ31" s="478"/>
      <c r="DA31" s="477"/>
      <c r="DB31" s="377"/>
      <c r="DC31" s="266"/>
      <c r="DD31" s="266"/>
      <c r="DE31" s="266"/>
      <c r="DF31" s="266"/>
      <c r="DG31" s="266"/>
      <c r="DH31" s="266"/>
      <c r="DI31" s="266"/>
      <c r="DJ31" s="266"/>
      <c r="DK31" s="266"/>
      <c r="DL31" s="266"/>
      <c r="DM31" s="266"/>
      <c r="DN31" s="266"/>
      <c r="DO31" s="266"/>
    </row>
    <row r="32" spans="1:119" s="7" customFormat="1" ht="2.25" customHeight="1">
      <c r="A32" s="495"/>
      <c r="B32" s="1078"/>
      <c r="C32" s="1079"/>
      <c r="D32" s="495"/>
      <c r="E32" s="265"/>
      <c r="F32" s="544"/>
      <c r="G32" s="411"/>
      <c r="H32" s="255"/>
      <c r="I32" s="255"/>
      <c r="J32" s="255"/>
      <c r="K32" s="255"/>
      <c r="L32" s="255"/>
      <c r="M32" s="255"/>
      <c r="N32" s="255"/>
      <c r="O32" s="255"/>
      <c r="P32" s="255"/>
      <c r="Q32" s="255"/>
      <c r="R32" s="255"/>
      <c r="S32" s="412"/>
      <c r="T32" s="546"/>
      <c r="U32" s="275"/>
      <c r="V32" s="991"/>
      <c r="W32" s="992"/>
      <c r="X32" s="992"/>
      <c r="Y32" s="311"/>
      <c r="Z32" s="311"/>
      <c r="AA32" s="314"/>
      <c r="AB32" s="314"/>
      <c r="AC32" s="315"/>
      <c r="AD32" s="315"/>
      <c r="AE32" s="315"/>
      <c r="AF32" s="315"/>
      <c r="AG32" s="316"/>
      <c r="AH32" s="316"/>
      <c r="AI32" s="317"/>
      <c r="AJ32" s="317"/>
      <c r="AK32" s="313"/>
      <c r="AL32" s="266"/>
      <c r="AM32" s="266"/>
      <c r="AN32" s="345"/>
      <c r="AO32" s="410"/>
      <c r="AP32" s="251"/>
      <c r="AQ32" s="251"/>
      <c r="AR32" s="251"/>
      <c r="AS32" s="251"/>
      <c r="AT32" s="251"/>
      <c r="AU32" s="251"/>
      <c r="AV32" s="251"/>
      <c r="AW32" s="251"/>
      <c r="AX32" s="269"/>
      <c r="AY32" s="270"/>
      <c r="AZ32" s="270"/>
      <c r="BA32" s="428"/>
      <c r="BB32" s="266"/>
      <c r="BC32" s="266"/>
      <c r="BD32" s="266"/>
      <c r="BE32" s="568"/>
      <c r="BF32" s="569"/>
      <c r="BG32" s="569"/>
      <c r="BH32" s="569"/>
      <c r="BI32" s="569"/>
      <c r="BJ32" s="569"/>
      <c r="BK32" s="569"/>
      <c r="BL32" s="569"/>
      <c r="BM32" s="569"/>
      <c r="BN32" s="569"/>
      <c r="BO32" s="569"/>
      <c r="BP32" s="569"/>
      <c r="BQ32" s="569"/>
      <c r="BR32" s="570"/>
      <c r="BS32" s="266"/>
      <c r="BT32" s="274"/>
      <c r="BU32" s="830"/>
      <c r="BV32" s="836"/>
      <c r="BW32" s="274"/>
      <c r="BX32" s="274"/>
      <c r="BY32" s="274"/>
      <c r="BZ32" s="274"/>
      <c r="CA32" s="274"/>
      <c r="CB32" s="274"/>
      <c r="CC32" s="274"/>
      <c r="CD32" s="274"/>
      <c r="CE32" s="274"/>
      <c r="CF32" s="274"/>
      <c r="CG32" s="274"/>
      <c r="CH32" s="274"/>
      <c r="CI32" s="833"/>
      <c r="CJ32" s="274"/>
      <c r="CK32" s="266"/>
      <c r="CL32" s="266"/>
      <c r="CM32" s="1029"/>
      <c r="CN32" s="1030"/>
      <c r="CO32" s="484"/>
      <c r="CP32" s="378"/>
      <c r="CQ32" s="478"/>
      <c r="CR32" s="478"/>
      <c r="CS32" s="478"/>
      <c r="CT32" s="478"/>
      <c r="CU32" s="478"/>
      <c r="CV32" s="478"/>
      <c r="CW32" s="478"/>
      <c r="CX32" s="478"/>
      <c r="CY32" s="478"/>
      <c r="CZ32" s="478"/>
      <c r="DA32" s="477"/>
      <c r="DB32" s="377"/>
      <c r="DC32" s="266"/>
      <c r="DD32" s="266"/>
      <c r="DE32" s="266"/>
      <c r="DF32" s="266"/>
      <c r="DG32" s="266"/>
      <c r="DH32" s="266"/>
      <c r="DI32" s="266"/>
      <c r="DJ32" s="266"/>
      <c r="DK32" s="266"/>
      <c r="DL32" s="266"/>
      <c r="DM32" s="266"/>
      <c r="DN32" s="266"/>
      <c r="DO32" s="266"/>
    </row>
    <row r="33" spans="1:119" s="7" customFormat="1" ht="11.25" customHeight="1" thickBot="1">
      <c r="A33" s="495"/>
      <c r="B33" s="1074" t="s">
        <v>364</v>
      </c>
      <c r="C33" s="1075"/>
      <c r="D33" s="495"/>
      <c r="E33" s="265">
        <f>ZRB!G21</f>
        <v>20</v>
      </c>
      <c r="F33" s="544"/>
      <c r="G33" s="504"/>
      <c r="H33" s="505"/>
      <c r="I33" s="505"/>
      <c r="J33" s="505"/>
      <c r="K33" s="505"/>
      <c r="L33" s="505"/>
      <c r="M33" s="505"/>
      <c r="N33" s="505"/>
      <c r="O33" s="505"/>
      <c r="P33" s="505"/>
      <c r="Q33" s="505"/>
      <c r="R33" s="505"/>
      <c r="S33" s="506"/>
      <c r="T33" s="546"/>
      <c r="U33" s="275"/>
      <c r="V33" s="991"/>
      <c r="W33" s="992"/>
      <c r="X33" s="992"/>
      <c r="Y33" s="311"/>
      <c r="Z33" s="311"/>
      <c r="AA33" s="314"/>
      <c r="AB33" s="314"/>
      <c r="AC33" s="315"/>
      <c r="AD33" s="315"/>
      <c r="AE33" s="315"/>
      <c r="AF33" s="315"/>
      <c r="AG33" s="316"/>
      <c r="AH33" s="316"/>
      <c r="AI33" s="317"/>
      <c r="AJ33" s="317"/>
      <c r="AK33" s="313"/>
      <c r="AL33" s="266"/>
      <c r="AM33" s="266"/>
      <c r="AN33" s="265">
        <f>ZRB!G89</f>
        <v>20</v>
      </c>
      <c r="AO33" s="410"/>
      <c r="AP33" s="969"/>
      <c r="AQ33" s="969"/>
      <c r="AR33" s="969"/>
      <c r="AS33" s="969"/>
      <c r="AT33" s="969"/>
      <c r="AU33" s="969"/>
      <c r="AV33" s="969"/>
      <c r="AW33" s="969"/>
      <c r="AX33" s="268" t="s">
        <v>307</v>
      </c>
      <c r="AY33" s="954"/>
      <c r="AZ33" s="954"/>
      <c r="BA33" s="452"/>
      <c r="BB33" s="266"/>
      <c r="BC33" s="266"/>
      <c r="BD33" s="576">
        <f>ZRB!G91</f>
        <v>1</v>
      </c>
      <c r="BE33" s="568"/>
      <c r="BF33" s="569"/>
      <c r="BG33" s="569"/>
      <c r="BH33" s="569"/>
      <c r="BI33" s="569"/>
      <c r="BJ33" s="569"/>
      <c r="BK33" s="569"/>
      <c r="BL33" s="569"/>
      <c r="BM33" s="569"/>
      <c r="BN33" s="569"/>
      <c r="BO33" s="569"/>
      <c r="BP33" s="569"/>
      <c r="BQ33" s="569"/>
      <c r="BR33" s="570"/>
      <c r="BS33" s="266"/>
      <c r="BT33" s="274"/>
      <c r="BU33" s="830"/>
      <c r="BV33" s="839"/>
      <c r="BW33" s="261"/>
      <c r="BX33" s="261"/>
      <c r="BY33" s="261"/>
      <c r="BZ33" s="261"/>
      <c r="CA33" s="261"/>
      <c r="CB33" s="261"/>
      <c r="CC33" s="261"/>
      <c r="CD33" s="261"/>
      <c r="CE33" s="261"/>
      <c r="CF33" s="261"/>
      <c r="CG33" s="261"/>
      <c r="CH33" s="261"/>
      <c r="CI33" s="835"/>
      <c r="CJ33" s="274"/>
      <c r="CK33" s="266"/>
      <c r="CL33" s="266"/>
      <c r="CM33" s="1029"/>
      <c r="CN33" s="1030"/>
      <c r="CO33" s="484"/>
      <c r="CP33" s="378"/>
      <c r="CQ33" s="478"/>
      <c r="CR33" s="478"/>
      <c r="CS33" s="478"/>
      <c r="CT33" s="478"/>
      <c r="CU33" s="478"/>
      <c r="CV33" s="478"/>
      <c r="CW33" s="478"/>
      <c r="CX33" s="478"/>
      <c r="CY33" s="478"/>
      <c r="CZ33" s="478"/>
      <c r="DA33" s="477"/>
      <c r="DB33" s="377"/>
      <c r="DC33" s="266"/>
      <c r="DD33" s="266"/>
      <c r="DE33" s="266"/>
      <c r="DF33" s="266"/>
      <c r="DG33" s="266"/>
      <c r="DH33" s="266"/>
      <c r="DI33" s="266"/>
      <c r="DJ33" s="266"/>
      <c r="DK33" s="266"/>
      <c r="DL33" s="266"/>
      <c r="DM33" s="266"/>
      <c r="DN33" s="266"/>
      <c r="DO33" s="266"/>
    </row>
    <row r="34" spans="1:119" s="7" customFormat="1" ht="2.25" customHeight="1" thickTop="1">
      <c r="A34" s="495"/>
      <c r="B34" s="497"/>
      <c r="C34" s="495"/>
      <c r="D34" s="495"/>
      <c r="E34" s="265"/>
      <c r="F34" s="544"/>
      <c r="G34" s="278"/>
      <c r="H34" s="279"/>
      <c r="I34" s="279"/>
      <c r="J34" s="279"/>
      <c r="K34" s="279"/>
      <c r="L34" s="279"/>
      <c r="M34" s="279"/>
      <c r="N34" s="279"/>
      <c r="O34" s="280"/>
      <c r="P34" s="280"/>
      <c r="Q34" s="280"/>
      <c r="R34" s="280"/>
      <c r="S34" s="281"/>
      <c r="T34" s="546"/>
      <c r="U34" s="275"/>
      <c r="V34" s="320"/>
      <c r="W34" s="318"/>
      <c r="X34" s="318"/>
      <c r="Y34" s="311"/>
      <c r="Z34" s="311"/>
      <c r="AA34" s="314"/>
      <c r="AB34" s="314"/>
      <c r="AC34" s="315"/>
      <c r="AD34" s="315"/>
      <c r="AE34" s="315"/>
      <c r="AF34" s="315"/>
      <c r="AG34" s="316"/>
      <c r="AH34" s="316"/>
      <c r="AI34" s="317"/>
      <c r="AJ34" s="317"/>
      <c r="AK34" s="313"/>
      <c r="AL34" s="266"/>
      <c r="AM34" s="266"/>
      <c r="AN34" s="345"/>
      <c r="AO34" s="418"/>
      <c r="AP34" s="271"/>
      <c r="AQ34" s="271"/>
      <c r="AR34" s="271"/>
      <c r="AS34" s="271"/>
      <c r="AT34" s="271"/>
      <c r="AU34" s="271"/>
      <c r="AV34" s="271"/>
      <c r="AW34" s="271"/>
      <c r="AX34" s="349"/>
      <c r="AY34" s="427"/>
      <c r="AZ34" s="427"/>
      <c r="BA34" s="429"/>
      <c r="BB34" s="266"/>
      <c r="BC34" s="266"/>
      <c r="BD34" s="266"/>
      <c r="BE34" s="986" t="s">
        <v>380</v>
      </c>
      <c r="BF34" s="987"/>
      <c r="BG34" s="987"/>
      <c r="BH34" s="987"/>
      <c r="BI34" s="987"/>
      <c r="BJ34" s="987"/>
      <c r="BK34" s="987"/>
      <c r="BL34" s="987"/>
      <c r="BM34" s="987"/>
      <c r="BN34" s="987"/>
      <c r="BO34" s="985">
        <f>ZRB!G82</f>
        <v>0</v>
      </c>
      <c r="BP34" s="985"/>
      <c r="BQ34" s="985"/>
      <c r="BR34" s="347"/>
      <c r="BS34" s="266"/>
      <c r="BT34" s="274"/>
      <c r="BU34" s="830"/>
      <c r="BV34" s="834"/>
      <c r="BW34" s="261"/>
      <c r="BX34" s="261"/>
      <c r="BY34" s="261"/>
      <c r="BZ34" s="261"/>
      <c r="CA34" s="261"/>
      <c r="CB34" s="261"/>
      <c r="CC34" s="261"/>
      <c r="CD34" s="261"/>
      <c r="CE34" s="261"/>
      <c r="CF34" s="261"/>
      <c r="CG34" s="261"/>
      <c r="CH34" s="261"/>
      <c r="CI34" s="261"/>
      <c r="CJ34" s="274"/>
      <c r="CK34" s="266"/>
      <c r="CL34" s="266"/>
      <c r="CM34" s="1029"/>
      <c r="CN34" s="1030"/>
      <c r="CO34" s="484"/>
      <c r="CP34" s="378"/>
      <c r="CQ34" s="478"/>
      <c r="CR34" s="478"/>
      <c r="CS34" s="478"/>
      <c r="CT34" s="478"/>
      <c r="CU34" s="478"/>
      <c r="CV34" s="478"/>
      <c r="CW34" s="478"/>
      <c r="CX34" s="478"/>
      <c r="CY34" s="478"/>
      <c r="CZ34" s="478"/>
      <c r="DA34" s="477"/>
      <c r="DB34" s="377"/>
      <c r="DC34" s="266"/>
      <c r="DD34" s="266"/>
      <c r="DE34" s="266"/>
      <c r="DF34" s="266"/>
      <c r="DG34" s="266"/>
      <c r="DH34" s="266"/>
      <c r="DI34" s="266"/>
      <c r="DJ34" s="266"/>
      <c r="DK34" s="266"/>
      <c r="DL34" s="266"/>
      <c r="DM34" s="266"/>
      <c r="DN34" s="266"/>
      <c r="DO34" s="266"/>
    </row>
    <row r="35" spans="1:119" s="7" customFormat="1" ht="11.25" customHeight="1">
      <c r="A35" s="495"/>
      <c r="B35" s="497"/>
      <c r="C35" s="495"/>
      <c r="D35" s="495"/>
      <c r="E35" s="265"/>
      <c r="F35" s="544"/>
      <c r="G35" s="1066" t="s">
        <v>351</v>
      </c>
      <c r="H35" s="1067"/>
      <c r="I35" s="1067"/>
      <c r="J35" s="1067"/>
      <c r="K35" s="1067"/>
      <c r="L35" s="540"/>
      <c r="M35" s="540"/>
      <c r="N35" s="540"/>
      <c r="O35" s="540"/>
      <c r="P35" s="1054">
        <f>ZRB!G57</f>
        <v>0</v>
      </c>
      <c r="Q35" s="1054"/>
      <c r="R35" s="1054"/>
      <c r="S35" s="542"/>
      <c r="T35" s="546"/>
      <c r="U35" s="275"/>
      <c r="V35" s="991">
        <v>0</v>
      </c>
      <c r="W35" s="992"/>
      <c r="X35" s="992"/>
      <c r="Y35" s="311"/>
      <c r="Z35" s="311"/>
      <c r="AA35" s="314"/>
      <c r="AB35" s="314"/>
      <c r="AC35" s="315"/>
      <c r="AD35" s="315"/>
      <c r="AE35" s="315"/>
      <c r="AF35" s="315"/>
      <c r="AG35" s="316"/>
      <c r="AH35" s="316"/>
      <c r="AI35" s="317"/>
      <c r="AJ35" s="317"/>
      <c r="AK35" s="313"/>
      <c r="AL35" s="284"/>
      <c r="AM35" s="284"/>
      <c r="AN35" s="432">
        <f>IF(AN33&gt;AN31,0,1)</f>
        <v>1</v>
      </c>
      <c r="AO35" s="166"/>
      <c r="AP35" s="166"/>
      <c r="AQ35" s="166"/>
      <c r="AR35" s="166"/>
      <c r="AS35" s="166"/>
      <c r="AT35" s="166"/>
      <c r="AU35" s="166"/>
      <c r="AV35" s="166"/>
      <c r="AW35" s="166"/>
      <c r="AX35" s="166"/>
      <c r="AY35" s="166"/>
      <c r="AZ35" s="166"/>
      <c r="BA35" s="166"/>
      <c r="BB35" s="284"/>
      <c r="BC35" s="284"/>
      <c r="BD35" s="284"/>
      <c r="BE35" s="986"/>
      <c r="BF35" s="987"/>
      <c r="BG35" s="987"/>
      <c r="BH35" s="987"/>
      <c r="BI35" s="987"/>
      <c r="BJ35" s="987"/>
      <c r="BK35" s="987"/>
      <c r="BL35" s="987"/>
      <c r="BM35" s="987"/>
      <c r="BN35" s="987"/>
      <c r="BO35" s="985"/>
      <c r="BP35" s="985"/>
      <c r="BQ35" s="985"/>
      <c r="BR35" s="467"/>
      <c r="BS35" s="284"/>
      <c r="BT35" s="274"/>
      <c r="BU35" s="830"/>
      <c r="BV35" s="837">
        <f>IF(OR(BU17=1,BU19=1),"","Nach § 61 Abs.1 und 2 (EEG 2014) können Übertragungsnetzbetreiber von Letztverbrauchern ")</f>
      </c>
      <c r="BW35" s="261"/>
      <c r="BX35" s="261"/>
      <c r="BY35" s="261"/>
      <c r="BZ35" s="261"/>
      <c r="CA35" s="261"/>
      <c r="CB35" s="261"/>
      <c r="CC35" s="261"/>
      <c r="CD35" s="261"/>
      <c r="CE35" s="261"/>
      <c r="CF35" s="261"/>
      <c r="CG35" s="261"/>
      <c r="CH35" s="261"/>
      <c r="CI35" s="835"/>
      <c r="CJ35" s="274"/>
      <c r="CK35" s="284"/>
      <c r="CL35" s="284"/>
      <c r="CM35" s="1029"/>
      <c r="CN35" s="1030"/>
      <c r="CO35" s="484"/>
      <c r="CP35" s="378"/>
      <c r="CQ35" s="478"/>
      <c r="CR35" s="478"/>
      <c r="CS35" s="478"/>
      <c r="CT35" s="478"/>
      <c r="CU35" s="478"/>
      <c r="CV35" s="478"/>
      <c r="CW35" s="478"/>
      <c r="CX35" s="478"/>
      <c r="CY35" s="478"/>
      <c r="CZ35" s="478"/>
      <c r="DA35" s="477"/>
      <c r="DB35" s="377"/>
      <c r="DC35" s="284"/>
      <c r="DD35" s="284"/>
      <c r="DE35" s="284"/>
      <c r="DF35" s="284"/>
      <c r="DG35" s="284"/>
      <c r="DH35" s="284"/>
      <c r="DI35" s="284"/>
      <c r="DJ35" s="284"/>
      <c r="DK35" s="284"/>
      <c r="DL35" s="284"/>
      <c r="DM35" s="284"/>
      <c r="DN35" s="284"/>
      <c r="DO35" s="284"/>
    </row>
    <row r="36" spans="1:119" s="7" customFormat="1" ht="2.25" customHeight="1" thickBot="1">
      <c r="A36" s="495"/>
      <c r="B36" s="497"/>
      <c r="C36" s="495"/>
      <c r="D36" s="495"/>
      <c r="E36" s="265"/>
      <c r="F36" s="544"/>
      <c r="G36" s="1066"/>
      <c r="H36" s="1067"/>
      <c r="I36" s="1067"/>
      <c r="J36" s="1067"/>
      <c r="K36" s="1067"/>
      <c r="L36" s="540"/>
      <c r="M36" s="540"/>
      <c r="N36" s="540"/>
      <c r="O36" s="540"/>
      <c r="P36" s="543"/>
      <c r="Q36" s="543"/>
      <c r="R36" s="543"/>
      <c r="S36" s="542"/>
      <c r="T36" s="546"/>
      <c r="U36" s="275"/>
      <c r="V36" s="991"/>
      <c r="W36" s="992"/>
      <c r="X36" s="992"/>
      <c r="Y36" s="311"/>
      <c r="Z36" s="311"/>
      <c r="AA36" s="314"/>
      <c r="AB36" s="314"/>
      <c r="AC36" s="315"/>
      <c r="AD36" s="315"/>
      <c r="AE36" s="315"/>
      <c r="AF36" s="315"/>
      <c r="AG36" s="316"/>
      <c r="AH36" s="316"/>
      <c r="AI36" s="317"/>
      <c r="AJ36" s="317"/>
      <c r="AK36" s="313"/>
      <c r="AL36" s="266"/>
      <c r="AM36" s="266"/>
      <c r="AN36" s="345"/>
      <c r="AO36" s="278"/>
      <c r="AP36" s="279"/>
      <c r="AQ36" s="279"/>
      <c r="AR36" s="279"/>
      <c r="AS36" s="279"/>
      <c r="AT36" s="279"/>
      <c r="AU36" s="280"/>
      <c r="AV36" s="280"/>
      <c r="AW36" s="280"/>
      <c r="AX36" s="280"/>
      <c r="AY36" s="280"/>
      <c r="AZ36" s="280"/>
      <c r="BA36" s="281"/>
      <c r="BB36" s="266"/>
      <c r="BC36" s="266"/>
      <c r="BD36" s="266"/>
      <c r="BE36" s="413"/>
      <c r="BF36" s="537"/>
      <c r="BG36" s="537"/>
      <c r="BH36" s="537"/>
      <c r="BI36" s="537"/>
      <c r="BJ36" s="537"/>
      <c r="BK36" s="537"/>
      <c r="BL36" s="537"/>
      <c r="BM36" s="537"/>
      <c r="BN36" s="537"/>
      <c r="BO36" s="566"/>
      <c r="BP36" s="566"/>
      <c r="BQ36" s="566"/>
      <c r="BR36" s="467"/>
      <c r="BS36" s="266"/>
      <c r="BT36" s="274"/>
      <c r="BU36" s="830"/>
      <c r="BV36" s="836"/>
      <c r="BW36" s="261"/>
      <c r="BX36" s="261"/>
      <c r="BY36" s="261"/>
      <c r="BZ36" s="261"/>
      <c r="CA36" s="261"/>
      <c r="CB36" s="261"/>
      <c r="CC36" s="261"/>
      <c r="CD36" s="261"/>
      <c r="CE36" s="261"/>
      <c r="CF36" s="261"/>
      <c r="CG36" s="261"/>
      <c r="CH36" s="261"/>
      <c r="CI36" s="835"/>
      <c r="CJ36" s="274"/>
      <c r="CK36" s="266"/>
      <c r="CL36" s="266"/>
      <c r="CM36" s="1029"/>
      <c r="CN36" s="1030"/>
      <c r="CO36" s="484"/>
      <c r="CP36" s="378"/>
      <c r="CQ36" s="478"/>
      <c r="CR36" s="478"/>
      <c r="CS36" s="478"/>
      <c r="CT36" s="478"/>
      <c r="CU36" s="478"/>
      <c r="CV36" s="478"/>
      <c r="CW36" s="478"/>
      <c r="CX36" s="478"/>
      <c r="CY36" s="478"/>
      <c r="CZ36" s="478"/>
      <c r="DA36" s="477"/>
      <c r="DB36" s="377"/>
      <c r="DC36" s="266"/>
      <c r="DD36" s="266"/>
      <c r="DE36" s="266"/>
      <c r="DF36" s="266"/>
      <c r="DG36" s="266"/>
      <c r="DH36" s="266"/>
      <c r="DI36" s="266"/>
      <c r="DJ36" s="266"/>
      <c r="DK36" s="266"/>
      <c r="DL36" s="266"/>
      <c r="DM36" s="266"/>
      <c r="DN36" s="266"/>
      <c r="DO36" s="266"/>
    </row>
    <row r="37" spans="1:119" s="7" customFormat="1" ht="11.25" customHeight="1" thickTop="1">
      <c r="A37" s="495"/>
      <c r="B37" s="1076" t="s">
        <v>357</v>
      </c>
      <c r="C37" s="1077"/>
      <c r="D37" s="495"/>
      <c r="F37" s="544"/>
      <c r="G37" s="516"/>
      <c r="H37" s="527" t="s">
        <v>349</v>
      </c>
      <c r="I37" s="251"/>
      <c r="J37" s="251"/>
      <c r="K37" s="523"/>
      <c r="L37" s="523"/>
      <c r="M37" s="1063">
        <f>ZRB!G42</f>
        <v>0</v>
      </c>
      <c r="N37" s="1063"/>
      <c r="O37" s="1063"/>
      <c r="P37" s="1050">
        <f>ZRB!G41</f>
        <v>0</v>
      </c>
      <c r="Q37" s="1050"/>
      <c r="R37" s="1050"/>
      <c r="S37" s="518"/>
      <c r="T37" s="546"/>
      <c r="U37" s="275"/>
      <c r="V37" s="991"/>
      <c r="W37" s="992"/>
      <c r="X37" s="992"/>
      <c r="Y37" s="1031" t="s">
        <v>133</v>
      </c>
      <c r="Z37" s="1031" t="s">
        <v>135</v>
      </c>
      <c r="AA37" s="1031" t="s">
        <v>151</v>
      </c>
      <c r="AB37" s="1031" t="s">
        <v>137</v>
      </c>
      <c r="AC37" s="1031" t="s">
        <v>138</v>
      </c>
      <c r="AD37" s="1031" t="s">
        <v>139</v>
      </c>
      <c r="AE37" s="1031" t="s">
        <v>140</v>
      </c>
      <c r="AF37" s="1031" t="s">
        <v>141</v>
      </c>
      <c r="AG37" s="1031" t="s">
        <v>142</v>
      </c>
      <c r="AH37" s="1031" t="s">
        <v>143</v>
      </c>
      <c r="AI37" s="1031" t="s">
        <v>144</v>
      </c>
      <c r="AJ37" s="1031" t="s">
        <v>145</v>
      </c>
      <c r="AK37" s="313"/>
      <c r="AL37" s="266"/>
      <c r="AM37" s="266"/>
      <c r="AN37" s="345"/>
      <c r="AO37" s="971" t="s">
        <v>308</v>
      </c>
      <c r="AP37" s="972"/>
      <c r="AQ37" s="972"/>
      <c r="AR37" s="972"/>
      <c r="AS37" s="972"/>
      <c r="AT37" s="972"/>
      <c r="AU37" s="972"/>
      <c r="AV37" s="972"/>
      <c r="AW37" s="972"/>
      <c r="AX37" s="976">
        <f>ROUND(ZRB!G79,0)</f>
        <v>0</v>
      </c>
      <c r="AY37" s="976"/>
      <c r="AZ37" s="976"/>
      <c r="BA37" s="296"/>
      <c r="BB37" s="266"/>
      <c r="BC37" s="266"/>
      <c r="BD37" s="266"/>
      <c r="BE37" s="413"/>
      <c r="BF37" s="474" t="str">
        <f>" &gt;&gt; EEG-Vergütung ( 0.-"&amp;ZRB!G90&amp;". Jahr)"</f>
        <v> &gt;&gt; EEG-Vergütung ( 0.-20. Jahr)</v>
      </c>
      <c r="BG37" s="537"/>
      <c r="BH37" s="537"/>
      <c r="BI37" s="537"/>
      <c r="BJ37" s="537"/>
      <c r="BK37" s="537"/>
      <c r="BL37" s="537"/>
      <c r="BM37" s="537"/>
      <c r="BN37" s="1043">
        <f>IF(ZRB!G89&gt;ZRB!G90,"Verrechnungsanteil","")</f>
      </c>
      <c r="BO37" s="1043"/>
      <c r="BP37" s="1043"/>
      <c r="BQ37" s="566"/>
      <c r="BR37" s="467"/>
      <c r="BS37" s="266"/>
      <c r="BT37" s="274"/>
      <c r="BU37" s="830"/>
      <c r="BV37" s="836">
        <f>IF(OR(BU17=1,BU19=1),"","für die Eigenversorgung anteilig EEG-Umlage verlangen:")</f>
      </c>
      <c r="BW37" s="261"/>
      <c r="BX37" s="261"/>
      <c r="BY37" s="261"/>
      <c r="BZ37" s="261"/>
      <c r="CA37" s="261"/>
      <c r="CB37" s="261"/>
      <c r="CC37" s="261"/>
      <c r="CD37" s="261"/>
      <c r="CE37" s="261"/>
      <c r="CF37" s="261"/>
      <c r="CG37" s="261"/>
      <c r="CH37" s="261"/>
      <c r="CI37" s="835"/>
      <c r="CJ37" s="274"/>
      <c r="CK37" s="266"/>
      <c r="CL37" s="266"/>
      <c r="CM37" s="1029"/>
      <c r="CN37" s="1030"/>
      <c r="CO37" s="484"/>
      <c r="CP37" s="378"/>
      <c r="CQ37" s="478"/>
      <c r="CR37" s="478"/>
      <c r="CS37" s="478"/>
      <c r="CT37" s="478"/>
      <c r="CU37" s="478"/>
      <c r="CV37" s="478"/>
      <c r="CW37" s="478"/>
      <c r="CX37" s="478"/>
      <c r="CY37" s="478"/>
      <c r="CZ37" s="478"/>
      <c r="DA37" s="477"/>
      <c r="DB37" s="377"/>
      <c r="DC37" s="266"/>
      <c r="DD37" s="266"/>
      <c r="DE37" s="266"/>
      <c r="DF37" s="266"/>
      <c r="DG37" s="266"/>
      <c r="DH37" s="266"/>
      <c r="DI37" s="266"/>
      <c r="DJ37" s="266"/>
      <c r="DK37" s="266"/>
      <c r="DL37" s="266"/>
      <c r="DM37" s="266"/>
      <c r="DN37" s="266"/>
      <c r="DO37" s="266"/>
    </row>
    <row r="38" spans="1:119" s="7" customFormat="1" ht="2.25" customHeight="1">
      <c r="A38" s="495"/>
      <c r="B38" s="1078"/>
      <c r="C38" s="1079"/>
      <c r="D38" s="495"/>
      <c r="E38" s="265"/>
      <c r="F38" s="544"/>
      <c r="G38" s="516"/>
      <c r="H38" s="528"/>
      <c r="I38" s="254"/>
      <c r="J38" s="254"/>
      <c r="K38" s="517"/>
      <c r="L38" s="517"/>
      <c r="M38" s="517"/>
      <c r="N38" s="517"/>
      <c r="O38" s="517"/>
      <c r="P38" s="522"/>
      <c r="Q38" s="522"/>
      <c r="R38" s="522"/>
      <c r="S38" s="518"/>
      <c r="T38" s="546"/>
      <c r="U38" s="275"/>
      <c r="V38" s="991"/>
      <c r="W38" s="992"/>
      <c r="X38" s="992"/>
      <c r="Y38" s="1032"/>
      <c r="Z38" s="1032"/>
      <c r="AA38" s="1032"/>
      <c r="AB38" s="1032"/>
      <c r="AC38" s="1032"/>
      <c r="AD38" s="1032"/>
      <c r="AE38" s="1032"/>
      <c r="AF38" s="1032"/>
      <c r="AG38" s="1032"/>
      <c r="AH38" s="1032"/>
      <c r="AI38" s="1032"/>
      <c r="AJ38" s="1032"/>
      <c r="AK38" s="313"/>
      <c r="AL38" s="266"/>
      <c r="AM38" s="266"/>
      <c r="AN38" s="345"/>
      <c r="AO38" s="971"/>
      <c r="AP38" s="972"/>
      <c r="AQ38" s="972"/>
      <c r="AR38" s="972"/>
      <c r="AS38" s="972"/>
      <c r="AT38" s="972"/>
      <c r="AU38" s="972"/>
      <c r="AV38" s="972"/>
      <c r="AW38" s="972"/>
      <c r="AX38" s="976"/>
      <c r="AY38" s="976"/>
      <c r="AZ38" s="976"/>
      <c r="BA38" s="296"/>
      <c r="BB38" s="266"/>
      <c r="BC38" s="266"/>
      <c r="BD38" s="266"/>
      <c r="BE38" s="413"/>
      <c r="BF38" s="537"/>
      <c r="BG38" s="537"/>
      <c r="BH38" s="537"/>
      <c r="BI38" s="537"/>
      <c r="BJ38" s="537"/>
      <c r="BK38" s="537"/>
      <c r="BL38" s="537"/>
      <c r="BM38" s="537"/>
      <c r="BN38" s="537"/>
      <c r="BO38" s="684"/>
      <c r="BP38" s="566"/>
      <c r="BQ38" s="566"/>
      <c r="BR38" s="467"/>
      <c r="BS38" s="266"/>
      <c r="BT38" s="274"/>
      <c r="BU38" s="830"/>
      <c r="BV38" s="834"/>
      <c r="BW38" s="261"/>
      <c r="BX38" s="261"/>
      <c r="BY38" s="261"/>
      <c r="BZ38" s="261"/>
      <c r="CA38" s="261"/>
      <c r="CB38" s="261"/>
      <c r="CC38" s="261"/>
      <c r="CD38" s="261"/>
      <c r="CE38" s="261"/>
      <c r="CF38" s="261"/>
      <c r="CG38" s="261"/>
      <c r="CH38" s="261"/>
      <c r="CI38" s="835"/>
      <c r="CJ38" s="274"/>
      <c r="CK38" s="266"/>
      <c r="CL38" s="266"/>
      <c r="CM38" s="1029"/>
      <c r="CN38" s="1030"/>
      <c r="CO38" s="484"/>
      <c r="CP38" s="378"/>
      <c r="CQ38" s="478"/>
      <c r="CR38" s="478"/>
      <c r="CS38" s="478"/>
      <c r="CT38" s="478"/>
      <c r="CU38" s="478"/>
      <c r="CV38" s="478"/>
      <c r="CW38" s="478"/>
      <c r="CX38" s="478"/>
      <c r="CY38" s="478"/>
      <c r="CZ38" s="478"/>
      <c r="DA38" s="477"/>
      <c r="DB38" s="377"/>
      <c r="DC38" s="266"/>
      <c r="DD38" s="266"/>
      <c r="DE38" s="266"/>
      <c r="DF38" s="266"/>
      <c r="DG38" s="266"/>
      <c r="DH38" s="266"/>
      <c r="DI38" s="266"/>
      <c r="DJ38" s="266"/>
      <c r="DK38" s="266"/>
      <c r="DL38" s="266"/>
      <c r="DM38" s="266"/>
      <c r="DN38" s="266"/>
      <c r="DO38" s="266"/>
    </row>
    <row r="39" spans="1:119" s="7" customFormat="1" ht="11.25" customHeight="1">
      <c r="A39" s="495"/>
      <c r="B39" s="1078"/>
      <c r="C39" s="1079"/>
      <c r="D39" s="495"/>
      <c r="E39" s="265"/>
      <c r="F39" s="544"/>
      <c r="G39" s="516"/>
      <c r="H39" s="527" t="s">
        <v>350</v>
      </c>
      <c r="I39" s="517"/>
      <c r="J39" s="517"/>
      <c r="K39" s="517"/>
      <c r="L39" s="517"/>
      <c r="M39" s="517"/>
      <c r="N39" s="517"/>
      <c r="O39" s="517"/>
      <c r="P39" s="1050">
        <f>ZRB!G52</f>
        <v>0</v>
      </c>
      <c r="Q39" s="1050"/>
      <c r="R39" s="1050"/>
      <c r="S39" s="518"/>
      <c r="T39" s="546"/>
      <c r="U39" s="275"/>
      <c r="V39" s="343"/>
      <c r="W39" s="311"/>
      <c r="X39" s="311"/>
      <c r="Y39" s="1033"/>
      <c r="Z39" s="1033"/>
      <c r="AA39" s="1033"/>
      <c r="AB39" s="1033"/>
      <c r="AC39" s="1033"/>
      <c r="AD39" s="1033"/>
      <c r="AE39" s="1033"/>
      <c r="AF39" s="1033"/>
      <c r="AG39" s="1033"/>
      <c r="AH39" s="1033"/>
      <c r="AI39" s="1033"/>
      <c r="AJ39" s="1033"/>
      <c r="AK39" s="313"/>
      <c r="AL39" s="266"/>
      <c r="AM39" s="266"/>
      <c r="AN39" s="345"/>
      <c r="AO39" s="971"/>
      <c r="AP39" s="972"/>
      <c r="AQ39" s="972"/>
      <c r="AR39" s="972"/>
      <c r="AS39" s="972"/>
      <c r="AT39" s="972"/>
      <c r="AU39" s="972"/>
      <c r="AV39" s="972"/>
      <c r="AW39" s="972"/>
      <c r="AX39" s="976"/>
      <c r="AY39" s="976"/>
      <c r="AZ39" s="976"/>
      <c r="BA39" s="296"/>
      <c r="BB39" s="266"/>
      <c r="BC39" s="266"/>
      <c r="BD39" s="266"/>
      <c r="BE39" s="466"/>
      <c r="BF39" s="959">
        <v>0</v>
      </c>
      <c r="BG39" s="959"/>
      <c r="BH39" s="964">
        <f>ZRB!L9</f>
        <v>10</v>
      </c>
      <c r="BI39" s="964"/>
      <c r="BJ39" s="968">
        <f>ZRB!Q9</f>
        <v>0.1275</v>
      </c>
      <c r="BK39" s="968"/>
      <c r="BL39" s="953">
        <f>ZRB!P9</f>
        <v>0</v>
      </c>
      <c r="BM39" s="953"/>
      <c r="BN39" s="537"/>
      <c r="BO39" s="1000">
        <f>IF(ZRB!G89&gt;ZRB!G90,""&amp;ROUND(ZRB!G91*100,1)&amp;"%
(0-"&amp;ZRB!G90&amp;"J.)","")</f>
      </c>
      <c r="BP39" s="979">
        <f>ZRB!G80</f>
        <v>0</v>
      </c>
      <c r="BQ39" s="979"/>
      <c r="BR39" s="467"/>
      <c r="BS39" s="266"/>
      <c r="BT39" s="274"/>
      <c r="BU39" s="830"/>
      <c r="BV39" s="834"/>
      <c r="BW39" s="261">
        <f>IF(OR(BU17=1,BU19=1),"","&gt; 30% EEG-Umlage von 1.07.2014 bis 31.12.2015")</f>
      </c>
      <c r="BX39" s="261"/>
      <c r="BY39" s="261"/>
      <c r="BZ39" s="261"/>
      <c r="CA39" s="261"/>
      <c r="CB39" s="261"/>
      <c r="CC39" s="261"/>
      <c r="CD39" s="261"/>
      <c r="CE39" s="261"/>
      <c r="CF39" s="261"/>
      <c r="CG39" s="261"/>
      <c r="CH39" s="261"/>
      <c r="CI39" s="835"/>
      <c r="CJ39" s="274"/>
      <c r="CK39" s="266"/>
      <c r="CL39" s="266"/>
      <c r="CM39" s="1029"/>
      <c r="CN39" s="1030"/>
      <c r="CO39" s="484"/>
      <c r="CP39" s="378"/>
      <c r="CQ39" s="478"/>
      <c r="CR39" s="478"/>
      <c r="CS39" s="478"/>
      <c r="CT39" s="478"/>
      <c r="CU39" s="478"/>
      <c r="CV39" s="478"/>
      <c r="CW39" s="478"/>
      <c r="CX39" s="478"/>
      <c r="CY39" s="478"/>
      <c r="CZ39" s="478"/>
      <c r="DA39" s="477"/>
      <c r="DB39" s="377"/>
      <c r="DC39" s="266"/>
      <c r="DD39" s="266"/>
      <c r="DE39" s="266"/>
      <c r="DF39" s="266"/>
      <c r="DG39" s="266"/>
      <c r="DH39" s="266"/>
      <c r="DI39" s="266"/>
      <c r="DJ39" s="266"/>
      <c r="DK39" s="266"/>
      <c r="DL39" s="266"/>
      <c r="DM39" s="266"/>
      <c r="DN39" s="266"/>
      <c r="DO39" s="266"/>
    </row>
    <row r="40" spans="1:119" s="7" customFormat="1" ht="2.25" customHeight="1">
      <c r="A40" s="495"/>
      <c r="B40" s="1078"/>
      <c r="C40" s="1079"/>
      <c r="D40" s="495"/>
      <c r="E40" s="265"/>
      <c r="F40" s="544"/>
      <c r="G40" s="516"/>
      <c r="H40" s="517"/>
      <c r="I40" s="517"/>
      <c r="J40" s="517"/>
      <c r="K40" s="517"/>
      <c r="L40" s="517"/>
      <c r="M40" s="517"/>
      <c r="N40" s="517"/>
      <c r="O40" s="517"/>
      <c r="P40" s="517"/>
      <c r="Q40" s="517"/>
      <c r="R40" s="517"/>
      <c r="S40" s="518"/>
      <c r="T40" s="546"/>
      <c r="U40" s="275"/>
      <c r="V40" s="343"/>
      <c r="W40" s="311"/>
      <c r="X40" s="311"/>
      <c r="Y40" s="316"/>
      <c r="Z40" s="316"/>
      <c r="AA40" s="316"/>
      <c r="AB40" s="316"/>
      <c r="AC40" s="316"/>
      <c r="AD40" s="316"/>
      <c r="AE40" s="316"/>
      <c r="AF40" s="316"/>
      <c r="AG40" s="316"/>
      <c r="AH40" s="316"/>
      <c r="AI40" s="316"/>
      <c r="AJ40" s="316"/>
      <c r="AK40" s="313"/>
      <c r="AL40" s="266"/>
      <c r="AM40" s="266"/>
      <c r="AN40" s="345"/>
      <c r="AO40" s="450"/>
      <c r="AP40" s="974" t="s">
        <v>316</v>
      </c>
      <c r="AQ40" s="974"/>
      <c r="AR40" s="974"/>
      <c r="AS40" s="974"/>
      <c r="AT40" s="974"/>
      <c r="AU40" s="974"/>
      <c r="AV40" s="974"/>
      <c r="AW40" s="974"/>
      <c r="AX40" s="974"/>
      <c r="AY40" s="965">
        <f>ZRB!G67</f>
        <v>0</v>
      </c>
      <c r="AZ40" s="965"/>
      <c r="BA40" s="455"/>
      <c r="BB40" s="266"/>
      <c r="BC40" s="266"/>
      <c r="BD40" s="266"/>
      <c r="BE40" s="466"/>
      <c r="BF40" s="468"/>
      <c r="BG40" s="469"/>
      <c r="BH40" s="384"/>
      <c r="BI40" s="678"/>
      <c r="BJ40" s="470"/>
      <c r="BK40" s="470"/>
      <c r="BL40" s="470"/>
      <c r="BM40" s="470"/>
      <c r="BN40" s="537"/>
      <c r="BO40" s="1000"/>
      <c r="BP40" s="471"/>
      <c r="BQ40" s="472"/>
      <c r="BR40" s="347"/>
      <c r="BS40" s="266"/>
      <c r="BT40" s="274"/>
      <c r="BU40" s="830"/>
      <c r="BV40" s="834"/>
      <c r="BW40" s="261"/>
      <c r="BX40" s="261"/>
      <c r="BY40" s="261"/>
      <c r="BZ40" s="261"/>
      <c r="CA40" s="261"/>
      <c r="CB40" s="261"/>
      <c r="CC40" s="261"/>
      <c r="CD40" s="261"/>
      <c r="CE40" s="261"/>
      <c r="CF40" s="261"/>
      <c r="CG40" s="261"/>
      <c r="CH40" s="261"/>
      <c r="CI40" s="835"/>
      <c r="CJ40" s="274"/>
      <c r="CK40" s="266"/>
      <c r="CL40" s="266"/>
      <c r="CM40" s="1029"/>
      <c r="CN40" s="1030"/>
      <c r="CO40" s="484"/>
      <c r="CP40" s="378"/>
      <c r="CQ40" s="478"/>
      <c r="CR40" s="478"/>
      <c r="CS40" s="478"/>
      <c r="CT40" s="478"/>
      <c r="CU40" s="478"/>
      <c r="CV40" s="478"/>
      <c r="CW40" s="478"/>
      <c r="CX40" s="478"/>
      <c r="CY40" s="478"/>
      <c r="CZ40" s="478"/>
      <c r="DA40" s="477"/>
      <c r="DB40" s="377"/>
      <c r="DC40" s="266"/>
      <c r="DD40" s="266"/>
      <c r="DE40" s="266"/>
      <c r="DF40" s="266"/>
      <c r="DG40" s="266"/>
      <c r="DH40" s="266"/>
      <c r="DI40" s="266"/>
      <c r="DJ40" s="266"/>
      <c r="DK40" s="266"/>
      <c r="DL40" s="266"/>
      <c r="DM40" s="266"/>
      <c r="DN40" s="266"/>
      <c r="DO40" s="266"/>
    </row>
    <row r="41" spans="1:119" s="7" customFormat="1" ht="11.25" customHeight="1" thickBot="1">
      <c r="A41" s="495"/>
      <c r="B41" s="1074" t="s">
        <v>364</v>
      </c>
      <c r="C41" s="1075"/>
      <c r="D41" s="495"/>
      <c r="E41" s="265"/>
      <c r="F41" s="544"/>
      <c r="G41" s="519"/>
      <c r="H41" s="520"/>
      <c r="I41" s="520"/>
      <c r="J41" s="520"/>
      <c r="K41" s="520"/>
      <c r="L41" s="520"/>
      <c r="M41" s="520"/>
      <c r="N41" s="520"/>
      <c r="O41" s="520"/>
      <c r="P41" s="520"/>
      <c r="Q41" s="520"/>
      <c r="R41" s="520"/>
      <c r="S41" s="521"/>
      <c r="T41" s="546"/>
      <c r="U41" s="275"/>
      <c r="V41" s="403"/>
      <c r="W41" s="420"/>
      <c r="X41" s="400" t="s">
        <v>268</v>
      </c>
      <c r="Y41" s="327">
        <f>Grafik_Ertrag!G10</f>
        <v>0</v>
      </c>
      <c r="Z41" s="327">
        <f>Grafik_Ertrag!G11</f>
        <v>0</v>
      </c>
      <c r="AA41" s="327">
        <f>Grafik_Ertrag!G12</f>
        <v>0</v>
      </c>
      <c r="AB41" s="327">
        <f>Grafik_Ertrag!G13</f>
        <v>0</v>
      </c>
      <c r="AC41" s="327">
        <f>Grafik_Ertrag!G14</f>
        <v>0</v>
      </c>
      <c r="AD41" s="327">
        <f>Grafik_Ertrag!G15</f>
        <v>0</v>
      </c>
      <c r="AE41" s="327">
        <f>Grafik_Ertrag!G16</f>
        <v>0</v>
      </c>
      <c r="AF41" s="327">
        <f>Grafik_Ertrag!G17</f>
        <v>0</v>
      </c>
      <c r="AG41" s="327">
        <f>Grafik_Ertrag!G18</f>
        <v>0</v>
      </c>
      <c r="AH41" s="327">
        <f>Grafik_Ertrag!G19</f>
        <v>0</v>
      </c>
      <c r="AI41" s="327">
        <f>Grafik_Ertrag!G20</f>
        <v>0</v>
      </c>
      <c r="AJ41" s="327">
        <f>Grafik_Ertrag!G21</f>
        <v>0</v>
      </c>
      <c r="AK41" s="313"/>
      <c r="AL41" s="266"/>
      <c r="AM41" s="266"/>
      <c r="AN41" s="249">
        <v>20</v>
      </c>
      <c r="AO41" s="447"/>
      <c r="AP41" s="974"/>
      <c r="AQ41" s="974"/>
      <c r="AR41" s="974"/>
      <c r="AS41" s="974"/>
      <c r="AT41" s="974"/>
      <c r="AU41" s="974"/>
      <c r="AV41" s="974"/>
      <c r="AW41" s="974"/>
      <c r="AX41" s="974"/>
      <c r="AY41" s="965"/>
      <c r="AZ41" s="965"/>
      <c r="BA41" s="455"/>
      <c r="BB41" s="266"/>
      <c r="BC41" s="266"/>
      <c r="BD41" s="266"/>
      <c r="BE41" s="466"/>
      <c r="BF41" s="959">
        <f>IF(BL41=0,"",BH39)</f>
      </c>
      <c r="BG41" s="959"/>
      <c r="BH41" s="964">
        <f>IF(BL41=0,"",ZRB!L10)</f>
      </c>
      <c r="BI41" s="964"/>
      <c r="BJ41" s="968">
        <f>IF(BL41=0,"",ZRB!Q10)</f>
      </c>
      <c r="BK41" s="968"/>
      <c r="BL41" s="953">
        <f>ZRB!P10</f>
        <v>0</v>
      </c>
      <c r="BM41" s="953"/>
      <c r="BN41" s="537"/>
      <c r="BO41" s="1000"/>
      <c r="BP41" s="471"/>
      <c r="BQ41" s="472"/>
      <c r="BR41" s="347"/>
      <c r="BS41" s="266"/>
      <c r="BT41" s="274"/>
      <c r="BU41" s="830"/>
      <c r="BV41" s="834"/>
      <c r="BW41" s="261">
        <f>IF(OR(BU17=1,BU19=1),"","&gt; 35% EEG-Umlage von 1.01.2016 bis 31.12.2016")</f>
      </c>
      <c r="BX41" s="261"/>
      <c r="BY41" s="261"/>
      <c r="BZ41" s="261"/>
      <c r="CA41" s="261"/>
      <c r="CB41" s="261"/>
      <c r="CC41" s="261"/>
      <c r="CD41" s="261"/>
      <c r="CE41" s="261"/>
      <c r="CF41" s="261"/>
      <c r="CG41" s="261"/>
      <c r="CH41" s="261"/>
      <c r="CI41" s="835"/>
      <c r="CJ41" s="274"/>
      <c r="CK41" s="266"/>
      <c r="CL41" s="266"/>
      <c r="CM41" s="1029"/>
      <c r="CN41" s="1030"/>
      <c r="CO41" s="484"/>
      <c r="CP41" s="378"/>
      <c r="CQ41" s="478"/>
      <c r="CR41" s="478"/>
      <c r="CS41" s="478"/>
      <c r="CT41" s="477"/>
      <c r="CU41" s="477"/>
      <c r="CV41" s="477"/>
      <c r="CW41" s="477"/>
      <c r="CX41" s="477"/>
      <c r="CY41" s="477"/>
      <c r="CZ41" s="477"/>
      <c r="DA41" s="477"/>
      <c r="DB41" s="377"/>
      <c r="DC41" s="266"/>
      <c r="DD41" s="266"/>
      <c r="DE41" s="266"/>
      <c r="DF41" s="266"/>
      <c r="DG41" s="266"/>
      <c r="DH41" s="266"/>
      <c r="DI41" s="266"/>
      <c r="DJ41" s="266"/>
      <c r="DK41" s="266"/>
      <c r="DL41" s="266"/>
      <c r="DM41" s="266"/>
      <c r="DN41" s="266"/>
      <c r="DO41" s="266"/>
    </row>
    <row r="42" spans="1:119" s="7" customFormat="1" ht="2.25" customHeight="1" thickTop="1">
      <c r="A42" s="495"/>
      <c r="B42" s="497"/>
      <c r="C42" s="495"/>
      <c r="D42" s="495"/>
      <c r="E42" s="265"/>
      <c r="F42" s="544"/>
      <c r="G42" s="278"/>
      <c r="H42" s="279"/>
      <c r="I42" s="279"/>
      <c r="J42" s="279"/>
      <c r="K42" s="279"/>
      <c r="L42" s="279"/>
      <c r="M42" s="279"/>
      <c r="N42" s="279"/>
      <c r="O42" s="280"/>
      <c r="P42" s="280"/>
      <c r="Q42" s="280"/>
      <c r="R42" s="280"/>
      <c r="S42" s="281"/>
      <c r="T42" s="546"/>
      <c r="U42" s="275"/>
      <c r="V42" s="404"/>
      <c r="W42" s="344"/>
      <c r="X42" s="344"/>
      <c r="Y42" s="491"/>
      <c r="Z42" s="491"/>
      <c r="AA42" s="491"/>
      <c r="AB42" s="491"/>
      <c r="AC42" s="491"/>
      <c r="AD42" s="491"/>
      <c r="AE42" s="491"/>
      <c r="AF42" s="491"/>
      <c r="AG42" s="491"/>
      <c r="AH42" s="491"/>
      <c r="AI42" s="491"/>
      <c r="AJ42" s="491"/>
      <c r="AK42" s="313"/>
      <c r="AL42" s="266"/>
      <c r="AM42" s="266"/>
      <c r="AN42" s="345"/>
      <c r="AO42" s="448"/>
      <c r="AP42" s="974"/>
      <c r="AQ42" s="974"/>
      <c r="AR42" s="974"/>
      <c r="AS42" s="974"/>
      <c r="AT42" s="974"/>
      <c r="AU42" s="974"/>
      <c r="AV42" s="974"/>
      <c r="AW42" s="974"/>
      <c r="AX42" s="974"/>
      <c r="AY42" s="965"/>
      <c r="AZ42" s="965"/>
      <c r="BA42" s="455"/>
      <c r="BB42" s="266"/>
      <c r="BC42" s="266"/>
      <c r="BD42" s="266"/>
      <c r="BE42" s="466"/>
      <c r="BF42" s="468"/>
      <c r="BG42" s="469"/>
      <c r="BH42" s="384"/>
      <c r="BI42" s="678"/>
      <c r="BJ42" s="473"/>
      <c r="BK42" s="255"/>
      <c r="BL42" s="255"/>
      <c r="BM42" s="256"/>
      <c r="BN42" s="537"/>
      <c r="BO42" s="1000"/>
      <c r="BP42" s="472"/>
      <c r="BQ42" s="472"/>
      <c r="BR42" s="347"/>
      <c r="BS42" s="266"/>
      <c r="BT42" s="274"/>
      <c r="BU42" s="830"/>
      <c r="BV42" s="834"/>
      <c r="BW42" s="261"/>
      <c r="BX42" s="261"/>
      <c r="BY42" s="261"/>
      <c r="BZ42" s="261"/>
      <c r="CA42" s="261"/>
      <c r="CB42" s="261"/>
      <c r="CC42" s="261"/>
      <c r="CD42" s="261"/>
      <c r="CE42" s="261"/>
      <c r="CF42" s="261"/>
      <c r="CG42" s="261"/>
      <c r="CH42" s="261"/>
      <c r="CI42" s="835"/>
      <c r="CJ42" s="274"/>
      <c r="CK42" s="266"/>
      <c r="CL42" s="266"/>
      <c r="CM42" s="1029"/>
      <c r="CN42" s="1030"/>
      <c r="CO42" s="484"/>
      <c r="CP42" s="378"/>
      <c r="CQ42" s="478"/>
      <c r="CR42" s="478"/>
      <c r="CS42" s="478"/>
      <c r="CT42" s="477"/>
      <c r="CU42" s="477"/>
      <c r="CV42" s="477"/>
      <c r="CW42" s="477"/>
      <c r="CX42" s="477"/>
      <c r="CY42" s="477"/>
      <c r="CZ42" s="477"/>
      <c r="DA42" s="477"/>
      <c r="DB42" s="377"/>
      <c r="DC42" s="266"/>
      <c r="DD42" s="266"/>
      <c r="DE42" s="266"/>
      <c r="DF42" s="266"/>
      <c r="DG42" s="266"/>
      <c r="DH42" s="266"/>
      <c r="DI42" s="266"/>
      <c r="DJ42" s="266"/>
      <c r="DK42" s="266"/>
      <c r="DL42" s="266"/>
      <c r="DM42" s="266"/>
      <c r="DN42" s="266"/>
      <c r="DO42" s="266"/>
    </row>
    <row r="43" spans="1:119" s="7" customFormat="1" ht="11.25" customHeight="1">
      <c r="A43" s="495"/>
      <c r="B43" s="497"/>
      <c r="C43" s="495"/>
      <c r="D43" s="495"/>
      <c r="E43" s="432">
        <f>IF(OR(P35&gt;0,P43&gt;0),0,1)</f>
        <v>1</v>
      </c>
      <c r="F43" s="544"/>
      <c r="G43" s="1066" t="s">
        <v>352</v>
      </c>
      <c r="H43" s="1067"/>
      <c r="I43" s="1067"/>
      <c r="J43" s="1067"/>
      <c r="K43" s="1067"/>
      <c r="L43" s="540"/>
      <c r="M43" s="540"/>
      <c r="N43" s="540"/>
      <c r="O43" s="540"/>
      <c r="P43" s="1054">
        <f>ZRB!G79</f>
        <v>0</v>
      </c>
      <c r="Q43" s="1054"/>
      <c r="R43" s="1054"/>
      <c r="S43" s="542"/>
      <c r="T43" s="546"/>
      <c r="U43" s="275"/>
      <c r="V43" s="405"/>
      <c r="W43" s="421"/>
      <c r="X43" s="417" t="s">
        <v>305</v>
      </c>
      <c r="Y43" s="342">
        <f>Grafik_Ertrag!E10</f>
        <v>0</v>
      </c>
      <c r="Z43" s="342">
        <f>Grafik_Ertrag!E11</f>
        <v>0</v>
      </c>
      <c r="AA43" s="342">
        <f>Grafik_Ertrag!E12</f>
        <v>0</v>
      </c>
      <c r="AB43" s="342">
        <f>Grafik_Ertrag!E13</f>
        <v>0</v>
      </c>
      <c r="AC43" s="342">
        <f>Grafik_Ertrag!E14</f>
        <v>0</v>
      </c>
      <c r="AD43" s="342">
        <f>Grafik_Ertrag!E15</f>
        <v>0</v>
      </c>
      <c r="AE43" s="342">
        <f>Grafik_Ertrag!E16</f>
        <v>0</v>
      </c>
      <c r="AF43" s="342">
        <f>Grafik_Ertrag!E17</f>
        <v>0</v>
      </c>
      <c r="AG43" s="342">
        <f>Grafik_Ertrag!E18</f>
        <v>0</v>
      </c>
      <c r="AH43" s="342">
        <f>Grafik_Ertrag!E19</f>
        <v>0</v>
      </c>
      <c r="AI43" s="342">
        <f>Grafik_Ertrag!E20</f>
        <v>0</v>
      </c>
      <c r="AJ43" s="342">
        <f>Grafik_Ertrag!E21</f>
        <v>0</v>
      </c>
      <c r="AK43" s="313"/>
      <c r="AL43" s="266"/>
      <c r="AM43" s="266"/>
      <c r="AN43" s="249">
        <v>150</v>
      </c>
      <c r="AO43" s="448"/>
      <c r="AP43" s="260" t="str">
        <f>"AfA: "&amp;Kalkulation_Eigenstrom!AP17&amp;""</f>
        <v>AfA: PV-Anlage (Module, AC &amp; DC-Kabel, etc.)</v>
      </c>
      <c r="AQ43" s="253"/>
      <c r="AR43" s="253"/>
      <c r="AS43" s="253"/>
      <c r="AT43" s="253"/>
      <c r="AU43" s="253"/>
      <c r="AV43" s="268"/>
      <c r="AW43" s="989">
        <f>ZRB!G21</f>
        <v>20</v>
      </c>
      <c r="AX43" s="990"/>
      <c r="AY43" s="988">
        <f>ROUND(ZRB!G43,0)</f>
        <v>0</v>
      </c>
      <c r="AZ43" s="988"/>
      <c r="BA43" s="347"/>
      <c r="BB43" s="266"/>
      <c r="BC43" s="266"/>
      <c r="BD43" s="576">
        <f>ZRB!G92</f>
        <v>0</v>
      </c>
      <c r="BE43" s="466"/>
      <c r="BF43" s="959">
        <f>IF(BL43=0,"",BH41)</f>
      </c>
      <c r="BG43" s="959"/>
      <c r="BH43" s="964">
        <f>IF(BL43=0,"",ZRB!L11)</f>
      </c>
      <c r="BI43" s="964"/>
      <c r="BJ43" s="968">
        <f>IF(BL43=0,"",ZRB!Q11)</f>
      </c>
      <c r="BK43" s="968"/>
      <c r="BL43" s="953">
        <f>ZRB!P11</f>
        <v>0</v>
      </c>
      <c r="BM43" s="953"/>
      <c r="BN43" s="537"/>
      <c r="BO43" s="1000"/>
      <c r="BP43" s="472"/>
      <c r="BQ43" s="472"/>
      <c r="BR43" s="347"/>
      <c r="BS43" s="266"/>
      <c r="BT43" s="274"/>
      <c r="BU43" s="830"/>
      <c r="BV43" s="834"/>
      <c r="BW43" s="261">
        <f>IF(OR(BU17=1,BU19=1),"","&gt; 40% EEG-Umlage ab 1.01.2017")</f>
      </c>
      <c r="BX43" s="261"/>
      <c r="BY43" s="261"/>
      <c r="BZ43" s="261"/>
      <c r="CA43" s="261"/>
      <c r="CB43" s="261"/>
      <c r="CC43" s="261"/>
      <c r="CD43" s="261"/>
      <c r="CE43" s="261"/>
      <c r="CF43" s="261"/>
      <c r="CG43" s="261"/>
      <c r="CH43" s="261"/>
      <c r="CI43" s="835"/>
      <c r="CJ43" s="274"/>
      <c r="CK43" s="266"/>
      <c r="CL43" s="266"/>
      <c r="CM43" s="1029"/>
      <c r="CN43" s="1030"/>
      <c r="CO43" s="484"/>
      <c r="CP43" s="378"/>
      <c r="CQ43" s="478"/>
      <c r="CR43" s="478"/>
      <c r="CS43" s="478"/>
      <c r="CT43" s="477"/>
      <c r="CU43" s="477"/>
      <c r="CV43" s="477"/>
      <c r="CW43" s="477"/>
      <c r="CX43" s="477"/>
      <c r="CY43" s="477"/>
      <c r="CZ43" s="477"/>
      <c r="DA43" s="477"/>
      <c r="DB43" s="377"/>
      <c r="DC43" s="266"/>
      <c r="DD43" s="266"/>
      <c r="DE43" s="266"/>
      <c r="DF43" s="266"/>
      <c r="DG43" s="266"/>
      <c r="DH43" s="266"/>
      <c r="DI43" s="266"/>
      <c r="DJ43" s="266"/>
      <c r="DK43" s="266"/>
      <c r="DL43" s="266"/>
      <c r="DM43" s="266"/>
      <c r="DN43" s="266"/>
      <c r="DO43" s="266"/>
    </row>
    <row r="44" spans="1:119" s="7" customFormat="1" ht="2.25" customHeight="1" thickBot="1">
      <c r="A44" s="495"/>
      <c r="B44" s="497"/>
      <c r="C44" s="495"/>
      <c r="D44" s="495"/>
      <c r="E44" s="265"/>
      <c r="F44" s="544"/>
      <c r="G44" s="1066"/>
      <c r="H44" s="1067"/>
      <c r="I44" s="1067"/>
      <c r="J44" s="1067"/>
      <c r="K44" s="1067"/>
      <c r="L44" s="540"/>
      <c r="M44" s="540"/>
      <c r="N44" s="540"/>
      <c r="O44" s="540"/>
      <c r="P44" s="543"/>
      <c r="Q44" s="543"/>
      <c r="R44" s="543"/>
      <c r="S44" s="542"/>
      <c r="T44" s="546"/>
      <c r="U44" s="275"/>
      <c r="V44" s="404"/>
      <c r="W44" s="344"/>
      <c r="X44" s="344"/>
      <c r="Y44" s="491"/>
      <c r="Z44" s="491"/>
      <c r="AA44" s="491"/>
      <c r="AB44" s="491"/>
      <c r="AC44" s="491"/>
      <c r="AD44" s="491"/>
      <c r="AE44" s="491"/>
      <c r="AF44" s="491"/>
      <c r="AG44" s="491"/>
      <c r="AH44" s="491"/>
      <c r="AI44" s="491"/>
      <c r="AJ44" s="491"/>
      <c r="AK44" s="313"/>
      <c r="AL44" s="266"/>
      <c r="AM44" s="266"/>
      <c r="AN44" s="345"/>
      <c r="AO44" s="448"/>
      <c r="AP44" s="425"/>
      <c r="AQ44" s="253"/>
      <c r="AR44" s="253"/>
      <c r="AS44" s="253"/>
      <c r="AT44" s="253"/>
      <c r="AU44" s="253"/>
      <c r="AV44" s="259"/>
      <c r="AW44" s="256"/>
      <c r="AX44" s="256"/>
      <c r="AY44" s="430"/>
      <c r="AZ44" s="430"/>
      <c r="BA44" s="347"/>
      <c r="BB44" s="266"/>
      <c r="BC44" s="266"/>
      <c r="BD44" s="266"/>
      <c r="BE44" s="413"/>
      <c r="BF44" s="468"/>
      <c r="BG44" s="469"/>
      <c r="BH44" s="384"/>
      <c r="BI44" s="678"/>
      <c r="BJ44" s="473"/>
      <c r="BK44" s="255"/>
      <c r="BL44" s="255"/>
      <c r="BM44" s="256"/>
      <c r="BN44" s="537"/>
      <c r="BO44" s="1000"/>
      <c r="BP44" s="255"/>
      <c r="BQ44" s="255"/>
      <c r="BR44" s="347"/>
      <c r="BS44" s="266"/>
      <c r="BT44" s="274"/>
      <c r="BU44" s="830"/>
      <c r="BV44" s="834"/>
      <c r="BW44" s="261"/>
      <c r="BX44" s="261"/>
      <c r="BY44" s="261"/>
      <c r="BZ44" s="261"/>
      <c r="CA44" s="261"/>
      <c r="CB44" s="261"/>
      <c r="CC44" s="261"/>
      <c r="CD44" s="261"/>
      <c r="CE44" s="261"/>
      <c r="CF44" s="261"/>
      <c r="CG44" s="261"/>
      <c r="CH44" s="261"/>
      <c r="CI44" s="835"/>
      <c r="CJ44" s="274"/>
      <c r="CK44" s="266"/>
      <c r="CL44" s="266"/>
      <c r="CM44" s="1029"/>
      <c r="CN44" s="1030"/>
      <c r="CO44" s="484"/>
      <c r="CP44" s="378"/>
      <c r="CQ44" s="478"/>
      <c r="CR44" s="478"/>
      <c r="CS44" s="478"/>
      <c r="CT44" s="478"/>
      <c r="CU44" s="478"/>
      <c r="CV44" s="478"/>
      <c r="CW44" s="478"/>
      <c r="CX44" s="478"/>
      <c r="CY44" s="478"/>
      <c r="CZ44" s="478"/>
      <c r="DA44" s="477"/>
      <c r="DB44" s="377"/>
      <c r="DC44" s="266"/>
      <c r="DD44" s="266"/>
      <c r="DE44" s="266"/>
      <c r="DF44" s="266"/>
      <c r="DG44" s="266"/>
      <c r="DH44" s="266"/>
      <c r="DI44" s="266"/>
      <c r="DJ44" s="266"/>
      <c r="DK44" s="266"/>
      <c r="DL44" s="266"/>
      <c r="DM44" s="266"/>
      <c r="DN44" s="266"/>
      <c r="DO44" s="266"/>
    </row>
    <row r="45" spans="1:119" s="7" customFormat="1" ht="11.25" customHeight="1" thickTop="1">
      <c r="A45" s="495"/>
      <c r="B45" s="939" t="s">
        <v>563</v>
      </c>
      <c r="C45" s="940"/>
      <c r="D45" s="495"/>
      <c r="E45" s="265"/>
      <c r="F45" s="544"/>
      <c r="G45" s="516"/>
      <c r="H45" s="251" t="s">
        <v>355</v>
      </c>
      <c r="I45" s="251"/>
      <c r="J45" s="251"/>
      <c r="K45" s="523"/>
      <c r="L45" s="523"/>
      <c r="M45" s="523"/>
      <c r="N45" s="523"/>
      <c r="O45" s="523"/>
      <c r="P45" s="1050">
        <f>ZRB!G48+ZRB!G56</f>
        <v>0</v>
      </c>
      <c r="Q45" s="1050"/>
      <c r="R45" s="1050"/>
      <c r="S45" s="518"/>
      <c r="T45" s="546"/>
      <c r="U45" s="275"/>
      <c r="V45" s="403"/>
      <c r="W45" s="420"/>
      <c r="X45" s="401" t="s">
        <v>269</v>
      </c>
      <c r="Y45" s="328">
        <f>Grafik_Ertrag!F10</f>
        <v>0</v>
      </c>
      <c r="Z45" s="328">
        <f>Grafik_Ertrag!F11</f>
        <v>0</v>
      </c>
      <c r="AA45" s="328">
        <f>Grafik_Ertrag!F12</f>
        <v>0</v>
      </c>
      <c r="AB45" s="328">
        <f>Grafik_Ertrag!F13</f>
        <v>0</v>
      </c>
      <c r="AC45" s="328">
        <f>Grafik_Ertrag!F14</f>
        <v>0</v>
      </c>
      <c r="AD45" s="328">
        <f>Grafik_Ertrag!F15</f>
        <v>0</v>
      </c>
      <c r="AE45" s="328">
        <f>Grafik_Ertrag!F16</f>
        <v>0</v>
      </c>
      <c r="AF45" s="328">
        <f>Grafik_Ertrag!F17</f>
        <v>0</v>
      </c>
      <c r="AG45" s="328">
        <f>Grafik_Ertrag!F18</f>
        <v>0</v>
      </c>
      <c r="AH45" s="328">
        <f>Grafik_Ertrag!F19</f>
        <v>0</v>
      </c>
      <c r="AI45" s="328">
        <f>Grafik_Ertrag!F20</f>
        <v>0</v>
      </c>
      <c r="AJ45" s="328">
        <f>Grafik_Ertrag!F21</f>
        <v>0</v>
      </c>
      <c r="AK45" s="313"/>
      <c r="AL45" s="266"/>
      <c r="AM45" s="266"/>
      <c r="AN45" s="345"/>
      <c r="AO45" s="448"/>
      <c r="AP45" s="260" t="str">
        <f>"AfA: "&amp;Kalkulation_Eigenstrom!AP19&amp;""</f>
        <v>AfA: Wechselrichter</v>
      </c>
      <c r="AQ45" s="253"/>
      <c r="AR45" s="253"/>
      <c r="AS45" s="253"/>
      <c r="AT45" s="253"/>
      <c r="AU45" s="253"/>
      <c r="AV45" s="268" t="s">
        <v>6</v>
      </c>
      <c r="AW45" s="502">
        <v>10</v>
      </c>
      <c r="AX45" s="457" t="s">
        <v>324</v>
      </c>
      <c r="AY45" s="988">
        <f>ZRB!G44</f>
        <v>0</v>
      </c>
      <c r="AZ45" s="988"/>
      <c r="BA45" s="347"/>
      <c r="BB45" s="266"/>
      <c r="BC45" s="266"/>
      <c r="BD45" s="266"/>
      <c r="BE45" s="413"/>
      <c r="BF45" s="959">
        <f>IF(BL45=0,"",IF(BH45&gt;0,"über",""))</f>
      </c>
      <c r="BG45" s="959"/>
      <c r="BH45" s="964">
        <f>IF(BL45=0,"",ZRB!L12)</f>
      </c>
      <c r="BI45" s="964"/>
      <c r="BJ45" s="968">
        <f>IF(BL45=0,"",ZRB!Q12)</f>
      </c>
      <c r="BK45" s="968"/>
      <c r="BL45" s="953">
        <f>ZRB!P12</f>
        <v>0</v>
      </c>
      <c r="BM45" s="953"/>
      <c r="BN45" s="537"/>
      <c r="BO45" s="1000"/>
      <c r="BP45" s="255"/>
      <c r="BQ45" s="255"/>
      <c r="BR45" s="347"/>
      <c r="BS45" s="266"/>
      <c r="BT45" s="274"/>
      <c r="BU45" s="830"/>
      <c r="BV45" s="834"/>
      <c r="BW45" s="261"/>
      <c r="BX45" s="261"/>
      <c r="BY45" s="261"/>
      <c r="BZ45" s="261"/>
      <c r="CA45" s="261"/>
      <c r="CB45" s="261"/>
      <c r="CC45" s="261"/>
      <c r="CD45" s="261"/>
      <c r="CE45" s="261"/>
      <c r="CF45" s="261"/>
      <c r="CG45" s="261"/>
      <c r="CH45" s="261"/>
      <c r="CI45" s="835"/>
      <c r="CJ45" s="274"/>
      <c r="CK45" s="266"/>
      <c r="CL45" s="266"/>
      <c r="CM45" s="1029"/>
      <c r="CN45" s="1030"/>
      <c r="CO45" s="484"/>
      <c r="CP45" s="378"/>
      <c r="CQ45" s="478"/>
      <c r="CR45" s="478"/>
      <c r="CS45" s="478"/>
      <c r="CT45" s="1015">
        <f>ZRB!B35</f>
      </c>
      <c r="CU45" s="1015"/>
      <c r="CV45" s="1015"/>
      <c r="CW45" s="1015"/>
      <c r="CX45" s="1015"/>
      <c r="CY45" s="1015"/>
      <c r="CZ45" s="1015"/>
      <c r="DA45" s="1015"/>
      <c r="DB45" s="377"/>
      <c r="DC45" s="266"/>
      <c r="DD45" s="266"/>
      <c r="DE45" s="266"/>
      <c r="DF45" s="266"/>
      <c r="DG45" s="266"/>
      <c r="DH45" s="266"/>
      <c r="DI45" s="266"/>
      <c r="DJ45" s="266"/>
      <c r="DK45" s="266"/>
      <c r="DL45" s="266"/>
      <c r="DM45" s="266"/>
      <c r="DN45" s="266"/>
      <c r="DO45" s="266"/>
    </row>
    <row r="46" spans="1:119" s="7" customFormat="1" ht="2.25" customHeight="1">
      <c r="A46" s="495"/>
      <c r="B46" s="941"/>
      <c r="C46" s="942"/>
      <c r="D46" s="495"/>
      <c r="E46" s="265"/>
      <c r="F46" s="544"/>
      <c r="G46" s="516"/>
      <c r="H46" s="254"/>
      <c r="I46" s="254"/>
      <c r="J46" s="254"/>
      <c r="K46" s="517"/>
      <c r="L46" s="517"/>
      <c r="M46" s="517"/>
      <c r="N46" s="517"/>
      <c r="O46" s="517"/>
      <c r="P46" s="522"/>
      <c r="Q46" s="522"/>
      <c r="R46" s="522"/>
      <c r="S46" s="518"/>
      <c r="T46" s="546"/>
      <c r="U46" s="275"/>
      <c r="V46" s="404"/>
      <c r="W46" s="344"/>
      <c r="X46" s="344"/>
      <c r="Y46" s="311"/>
      <c r="Z46" s="311"/>
      <c r="AA46" s="314"/>
      <c r="AB46" s="314"/>
      <c r="AC46" s="315"/>
      <c r="AD46" s="315"/>
      <c r="AE46" s="315"/>
      <c r="AF46" s="315"/>
      <c r="AG46" s="316"/>
      <c r="AH46" s="316"/>
      <c r="AI46" s="317"/>
      <c r="AJ46" s="317"/>
      <c r="AK46" s="313"/>
      <c r="AL46" s="266"/>
      <c r="AM46" s="266"/>
      <c r="AN46" s="345"/>
      <c r="AO46" s="448"/>
      <c r="AP46" s="425"/>
      <c r="AQ46" s="253"/>
      <c r="AR46" s="253"/>
      <c r="AS46" s="253"/>
      <c r="AT46" s="253"/>
      <c r="AU46" s="253"/>
      <c r="AV46" s="259"/>
      <c r="AW46" s="256"/>
      <c r="AX46" s="256"/>
      <c r="AY46" s="430"/>
      <c r="AZ46" s="430"/>
      <c r="BA46" s="347"/>
      <c r="BB46" s="266"/>
      <c r="BC46" s="266"/>
      <c r="BD46" s="266"/>
      <c r="BE46" s="413"/>
      <c r="BF46" s="255"/>
      <c r="BG46" s="255"/>
      <c r="BH46" s="255"/>
      <c r="BI46" s="255"/>
      <c r="BJ46" s="255"/>
      <c r="BK46" s="255"/>
      <c r="BL46" s="255"/>
      <c r="BM46" s="255"/>
      <c r="BN46" s="537"/>
      <c r="BO46" s="685"/>
      <c r="BP46" s="255"/>
      <c r="BQ46" s="255"/>
      <c r="BR46" s="347"/>
      <c r="BS46" s="266"/>
      <c r="BT46" s="274"/>
      <c r="BU46" s="830"/>
      <c r="BV46" s="834"/>
      <c r="BW46" s="261"/>
      <c r="BX46" s="261"/>
      <c r="BY46" s="261"/>
      <c r="BZ46" s="261"/>
      <c r="CA46" s="261"/>
      <c r="CB46" s="261"/>
      <c r="CC46" s="261"/>
      <c r="CD46" s="261"/>
      <c r="CE46" s="261"/>
      <c r="CF46" s="261"/>
      <c r="CG46" s="261"/>
      <c r="CH46" s="261"/>
      <c r="CI46" s="835"/>
      <c r="CJ46" s="274"/>
      <c r="CK46" s="266"/>
      <c r="CL46" s="266"/>
      <c r="CM46" s="1029"/>
      <c r="CN46" s="1030"/>
      <c r="CO46" s="484"/>
      <c r="CP46" s="460"/>
      <c r="CQ46" s="478"/>
      <c r="CR46" s="485"/>
      <c r="CS46" s="485"/>
      <c r="CT46" s="1015"/>
      <c r="CU46" s="1015"/>
      <c r="CV46" s="1015"/>
      <c r="CW46" s="1015"/>
      <c r="CX46" s="1015"/>
      <c r="CY46" s="1015"/>
      <c r="CZ46" s="1015"/>
      <c r="DA46" s="1015"/>
      <c r="DB46" s="377"/>
      <c r="DC46" s="266"/>
      <c r="DD46" s="266"/>
      <c r="DE46" s="266"/>
      <c r="DF46" s="266"/>
      <c r="DG46" s="266"/>
      <c r="DH46" s="266"/>
      <c r="DI46" s="266"/>
      <c r="DJ46" s="266"/>
      <c r="DK46" s="266"/>
      <c r="DL46" s="266"/>
      <c r="DM46" s="266"/>
      <c r="DN46" s="266"/>
      <c r="DO46" s="266"/>
    </row>
    <row r="47" spans="1:119" s="7" customFormat="1" ht="11.25" customHeight="1">
      <c r="A47" s="495"/>
      <c r="B47" s="941"/>
      <c r="C47" s="942"/>
      <c r="D47" s="495"/>
      <c r="E47" s="265"/>
      <c r="F47" s="544"/>
      <c r="G47" s="516"/>
      <c r="H47" s="536" t="s">
        <v>365</v>
      </c>
      <c r="I47" s="507"/>
      <c r="J47" s="517"/>
      <c r="K47" s="517"/>
      <c r="L47" s="517"/>
      <c r="M47" s="1090">
        <f>ZRB!F58</f>
        <v>0.05</v>
      </c>
      <c r="N47" s="1091"/>
      <c r="O47" s="517"/>
      <c r="P47" s="1050">
        <f>ZRB!G58</f>
        <v>0</v>
      </c>
      <c r="Q47" s="1050"/>
      <c r="R47" s="1050"/>
      <c r="S47" s="518"/>
      <c r="T47" s="546"/>
      <c r="U47" s="275"/>
      <c r="V47" s="404"/>
      <c r="W47" s="344"/>
      <c r="X47" s="344"/>
      <c r="Y47" s="311"/>
      <c r="Z47" s="311"/>
      <c r="AA47" s="314"/>
      <c r="AB47" s="314"/>
      <c r="AC47" s="315"/>
      <c r="AD47" s="315"/>
      <c r="AE47" s="315"/>
      <c r="AF47" s="315"/>
      <c r="AG47" s="316"/>
      <c r="AH47" s="316"/>
      <c r="AI47" s="317"/>
      <c r="AJ47" s="317"/>
      <c r="AK47" s="313"/>
      <c r="AL47" s="266"/>
      <c r="AM47" s="266"/>
      <c r="AN47" s="345"/>
      <c r="AO47" s="448"/>
      <c r="AP47" s="260" t="str">
        <f>"AfA: "&amp;Kalkulation_Eigenstrom!AP21&amp;""</f>
        <v>AfA: Unterkonstruktion / Montagegestell</v>
      </c>
      <c r="AQ47" s="253"/>
      <c r="AR47" s="253"/>
      <c r="AS47" s="253"/>
      <c r="AT47" s="253"/>
      <c r="AU47" s="253"/>
      <c r="AV47" s="268" t="s">
        <v>6</v>
      </c>
      <c r="AW47" s="502">
        <v>50</v>
      </c>
      <c r="AX47" s="457" t="s">
        <v>324</v>
      </c>
      <c r="AY47" s="988">
        <f>ZRB!G45</f>
        <v>0</v>
      </c>
      <c r="AZ47" s="988"/>
      <c r="BA47" s="347"/>
      <c r="BB47" s="266"/>
      <c r="BC47" s="266"/>
      <c r="BD47" s="266"/>
      <c r="BE47" s="413"/>
      <c r="BF47" s="474">
        <f>IF(ZRB!G89&gt;ZRB!G90," &gt;&gt; Erlöse Eigenvermarktung ("&amp;ZRB!G90&amp;".-"&amp;ZRB!G89&amp;". Jahr)","")</f>
      </c>
      <c r="BG47" s="255"/>
      <c r="BH47" s="255"/>
      <c r="BI47" s="255"/>
      <c r="BJ47" s="255"/>
      <c r="BK47" s="255"/>
      <c r="BL47" s="255"/>
      <c r="BM47" s="255"/>
      <c r="BN47" s="537"/>
      <c r="BO47" s="1000">
        <f>IF(ZRB!G89&gt;ZRB!G90,""&amp;ROUND(ZRB!G92*100,1)&amp;"%
("&amp;ZRB!G90&amp;"-"&amp;ZRB!G89&amp;"J.)","")</f>
      </c>
      <c r="BP47" s="979">
        <f>ZRB!G81</f>
        <v>0</v>
      </c>
      <c r="BQ47" s="979"/>
      <c r="BR47" s="347"/>
      <c r="BS47" s="266"/>
      <c r="BT47" s="274"/>
      <c r="BU47" s="830"/>
      <c r="BV47" s="840">
        <f>IF(OR(BU17=1,BU19=1),"","WICHTIG - bitte beachten:")</f>
      </c>
      <c r="BW47" s="261"/>
      <c r="BX47" s="261"/>
      <c r="BY47" s="261"/>
      <c r="BZ47" s="261"/>
      <c r="CA47" s="261"/>
      <c r="CB47" s="261"/>
      <c r="CC47" s="261"/>
      <c r="CD47" s="261"/>
      <c r="CE47" s="261"/>
      <c r="CF47" s="261"/>
      <c r="CG47" s="261"/>
      <c r="CH47" s="261"/>
      <c r="CI47" s="835"/>
      <c r="CJ47" s="274"/>
      <c r="CK47" s="266"/>
      <c r="CL47" s="266"/>
      <c r="CM47" s="1029"/>
      <c r="CN47" s="1030"/>
      <c r="CO47" s="484"/>
      <c r="CP47" s="460"/>
      <c r="CQ47" s="478"/>
      <c r="CR47" s="477"/>
      <c r="CS47" s="477"/>
      <c r="CT47" s="1028">
        <f>IF(AN19=1,"Der nicht selbst genutzte Strom wird mit 0,0000 €/kWh bewertet.","")</f>
      </c>
      <c r="CU47" s="1028"/>
      <c r="CV47" s="1028"/>
      <c r="CW47" s="1028"/>
      <c r="CX47" s="1028"/>
      <c r="CY47" s="1028"/>
      <c r="CZ47" s="1028"/>
      <c r="DA47" s="1028"/>
      <c r="DB47" s="377"/>
      <c r="DC47" s="266"/>
      <c r="DD47" s="266"/>
      <c r="DE47" s="266"/>
      <c r="DF47" s="266"/>
      <c r="DG47" s="266"/>
      <c r="DH47" s="266"/>
      <c r="DI47" s="266"/>
      <c r="DJ47" s="266"/>
      <c r="DK47" s="266"/>
      <c r="DL47" s="266"/>
      <c r="DM47" s="266"/>
      <c r="DN47" s="266"/>
      <c r="DO47" s="266"/>
    </row>
    <row r="48" spans="1:119" s="7" customFormat="1" ht="2.25" customHeight="1">
      <c r="A48" s="495"/>
      <c r="B48" s="941"/>
      <c r="C48" s="942"/>
      <c r="D48" s="495"/>
      <c r="E48" s="265"/>
      <c r="F48" s="544"/>
      <c r="G48" s="516"/>
      <c r="H48" s="517"/>
      <c r="I48" s="517"/>
      <c r="J48" s="517"/>
      <c r="K48" s="517"/>
      <c r="L48" s="517"/>
      <c r="M48" s="517"/>
      <c r="N48" s="517"/>
      <c r="O48" s="517"/>
      <c r="P48" s="517"/>
      <c r="Q48" s="517"/>
      <c r="R48" s="517"/>
      <c r="S48" s="518"/>
      <c r="T48" s="546"/>
      <c r="U48" s="275"/>
      <c r="V48" s="404"/>
      <c r="W48" s="344"/>
      <c r="X48" s="344"/>
      <c r="Y48" s="311"/>
      <c r="Z48" s="311"/>
      <c r="AA48" s="314"/>
      <c r="AB48" s="314"/>
      <c r="AC48" s="315"/>
      <c r="AD48" s="315"/>
      <c r="AE48" s="315"/>
      <c r="AF48" s="315"/>
      <c r="AG48" s="316"/>
      <c r="AH48" s="316"/>
      <c r="AI48" s="317"/>
      <c r="AJ48" s="317"/>
      <c r="AK48" s="313"/>
      <c r="AL48" s="266"/>
      <c r="AM48" s="266"/>
      <c r="AN48" s="345"/>
      <c r="AO48" s="448"/>
      <c r="AP48" s="425"/>
      <c r="AQ48" s="253"/>
      <c r="AR48" s="253"/>
      <c r="AS48" s="253"/>
      <c r="AT48" s="253"/>
      <c r="AU48" s="253"/>
      <c r="AV48" s="259"/>
      <c r="AW48" s="256"/>
      <c r="AX48" s="256"/>
      <c r="AY48" s="430"/>
      <c r="AZ48" s="430"/>
      <c r="BA48" s="347"/>
      <c r="BB48" s="266"/>
      <c r="BC48" s="266"/>
      <c r="BD48" s="266"/>
      <c r="BE48" s="413"/>
      <c r="BF48" s="255"/>
      <c r="BG48" s="255"/>
      <c r="BH48" s="255"/>
      <c r="BI48" s="255"/>
      <c r="BJ48" s="255"/>
      <c r="BK48" s="255"/>
      <c r="BL48" s="255"/>
      <c r="BM48" s="255"/>
      <c r="BN48" s="537"/>
      <c r="BO48" s="1000"/>
      <c r="BP48" s="255"/>
      <c r="BQ48" s="255"/>
      <c r="BR48" s="347"/>
      <c r="BS48" s="266"/>
      <c r="BT48" s="274"/>
      <c r="BU48" s="830"/>
      <c r="BV48" s="836"/>
      <c r="BW48" s="261"/>
      <c r="BX48" s="261"/>
      <c r="BY48" s="261"/>
      <c r="BZ48" s="261"/>
      <c r="CA48" s="261"/>
      <c r="CB48" s="261"/>
      <c r="CC48" s="261"/>
      <c r="CD48" s="261"/>
      <c r="CE48" s="261"/>
      <c r="CF48" s="261"/>
      <c r="CG48" s="261"/>
      <c r="CH48" s="261"/>
      <c r="CI48" s="835"/>
      <c r="CJ48" s="274"/>
      <c r="CK48" s="266"/>
      <c r="CL48" s="266"/>
      <c r="CM48" s="1029"/>
      <c r="CN48" s="1030"/>
      <c r="CO48" s="484"/>
      <c r="CP48" s="380"/>
      <c r="CQ48" s="316"/>
      <c r="CR48" s="316"/>
      <c r="CS48" s="316"/>
      <c r="CT48" s="316"/>
      <c r="CU48" s="316"/>
      <c r="CV48" s="316"/>
      <c r="CW48" s="316"/>
      <c r="CX48" s="316"/>
      <c r="CY48" s="316"/>
      <c r="CZ48" s="316"/>
      <c r="DA48" s="316"/>
      <c r="DB48" s="377"/>
      <c r="DC48" s="266"/>
      <c r="DD48" s="266"/>
      <c r="DE48" s="266"/>
      <c r="DF48" s="266"/>
      <c r="DG48" s="266"/>
      <c r="DH48" s="266"/>
      <c r="DI48" s="266"/>
      <c r="DJ48" s="266"/>
      <c r="DK48" s="266"/>
      <c r="DL48" s="266"/>
      <c r="DM48" s="266"/>
      <c r="DN48" s="266"/>
      <c r="DO48" s="266"/>
    </row>
    <row r="49" spans="1:119" s="7" customFormat="1" ht="11.25" customHeight="1">
      <c r="A49" s="495"/>
      <c r="B49" s="941"/>
      <c r="C49" s="942"/>
      <c r="D49" s="495"/>
      <c r="E49" s="265"/>
      <c r="F49" s="544"/>
      <c r="G49" s="516"/>
      <c r="H49" s="251" t="s">
        <v>356</v>
      </c>
      <c r="I49" s="251"/>
      <c r="J49" s="251"/>
      <c r="K49" s="523"/>
      <c r="L49" s="523"/>
      <c r="M49" s="523"/>
      <c r="N49" s="523"/>
      <c r="O49" s="523"/>
      <c r="P49" s="1050">
        <f>ZRB!G71</f>
        <v>0</v>
      </c>
      <c r="Q49" s="1050"/>
      <c r="R49" s="1050"/>
      <c r="S49" s="518"/>
      <c r="T49" s="546"/>
      <c r="U49" s="275"/>
      <c r="V49" s="406"/>
      <c r="W49" s="422">
        <f>IF(E11=1,"","*")</f>
      </c>
      <c r="X49" s="1083">
        <f>IF(E11=1,"","Der hier dargestellte Tagesertrag in    kWh/Tag    der "&amp;ROUND(ZRB!G6,1)&amp;" kWp- Anlage errechnet sich auf der")</f>
      </c>
      <c r="Y49" s="1083"/>
      <c r="Z49" s="1083"/>
      <c r="AA49" s="1083"/>
      <c r="AB49" s="1083"/>
      <c r="AC49" s="1083"/>
      <c r="AD49" s="1083"/>
      <c r="AE49" s="1083"/>
      <c r="AF49" s="1083"/>
      <c r="AG49" s="1083"/>
      <c r="AH49" s="1083"/>
      <c r="AI49" s="1083"/>
      <c r="AJ49" s="1083"/>
      <c r="AK49" s="1084"/>
      <c r="AL49" s="266"/>
      <c r="AM49" s="266"/>
      <c r="AN49" s="395">
        <f>ZRB!G96</f>
        <v>3</v>
      </c>
      <c r="AO49" s="448"/>
      <c r="AP49" s="260" t="str">
        <f>"AfA: "&amp;Kalkulation_Eigenstrom!AP23&amp;""</f>
        <v>AfA: </v>
      </c>
      <c r="AQ49" s="253"/>
      <c r="AR49" s="253"/>
      <c r="AS49" s="253"/>
      <c r="AT49" s="253"/>
      <c r="AU49" s="253"/>
      <c r="AV49" s="268" t="s">
        <v>6</v>
      </c>
      <c r="AW49" s="502">
        <v>20</v>
      </c>
      <c r="AX49" s="457" t="s">
        <v>324</v>
      </c>
      <c r="AY49" s="988">
        <f>ZRB!G46</f>
        <v>0</v>
      </c>
      <c r="AZ49" s="988"/>
      <c r="BA49" s="347"/>
      <c r="BB49" s="266"/>
      <c r="BC49" s="266"/>
      <c r="BD49" s="266"/>
      <c r="BE49" s="413"/>
      <c r="BF49" s="255"/>
      <c r="BG49" s="255">
        <f>IF(ZRB!G89&gt;ZRB!G90,"Erlös-Erwartung:","")</f>
      </c>
      <c r="BH49" s="255"/>
      <c r="BI49" s="255"/>
      <c r="BJ49" s="957">
        <f>AN43/1000</f>
        <v>0.15</v>
      </c>
      <c r="BK49" s="958"/>
      <c r="BL49" s="953">
        <f>IF(ZRB!G89&gt;ZRB!G90,IF(ZRB!G32=0,"",ZRB!G32),"")</f>
      </c>
      <c r="BM49" s="953"/>
      <c r="BN49" s="537"/>
      <c r="BO49" s="1000"/>
      <c r="BP49" s="255"/>
      <c r="BQ49" s="255"/>
      <c r="BR49" s="347"/>
      <c r="BS49" s="266"/>
      <c r="BT49" s="274"/>
      <c r="BU49" s="830"/>
      <c r="BV49" s="841">
        <f>IF(OR(BU17=1,BU19=1),"","Der Abzug der fälligen anteiligen EEG-Umlage wird in der Kalkulation berücksichtigt.")</f>
      </c>
      <c r="BW49" s="261"/>
      <c r="BX49" s="261"/>
      <c r="BY49" s="261"/>
      <c r="BZ49" s="261"/>
      <c r="CA49" s="261"/>
      <c r="CB49" s="261"/>
      <c r="CC49" s="261"/>
      <c r="CD49" s="261"/>
      <c r="CE49" s="261"/>
      <c r="CF49" s="261"/>
      <c r="CG49" s="261"/>
      <c r="CH49" s="261"/>
      <c r="CI49" s="835"/>
      <c r="CJ49" s="274"/>
      <c r="CK49" s="266"/>
      <c r="CL49" s="266"/>
      <c r="CM49" s="483"/>
      <c r="CN49" s="484"/>
      <c r="CO49" s="484"/>
      <c r="CP49" s="380"/>
      <c r="CQ49" s="489"/>
      <c r="CR49" s="489"/>
      <c r="CS49" s="489"/>
      <c r="CT49" s="489"/>
      <c r="CU49" s="489"/>
      <c r="CV49" s="489"/>
      <c r="CW49" s="489"/>
      <c r="CX49" s="489"/>
      <c r="CY49" s="489"/>
      <c r="CZ49" s="489"/>
      <c r="DA49" s="489"/>
      <c r="DB49" s="377"/>
      <c r="DC49" s="266"/>
      <c r="DD49" s="266"/>
      <c r="DE49" s="266"/>
      <c r="DF49" s="266"/>
      <c r="DG49" s="266"/>
      <c r="DH49" s="266"/>
      <c r="DI49" s="266"/>
      <c r="DJ49" s="266"/>
      <c r="DK49" s="266"/>
      <c r="DL49" s="266"/>
      <c r="DM49" s="266"/>
      <c r="DN49" s="266"/>
      <c r="DO49" s="266"/>
    </row>
    <row r="50" spans="1:119" s="7" customFormat="1" ht="2.25" customHeight="1">
      <c r="A50" s="495"/>
      <c r="B50" s="941"/>
      <c r="C50" s="942"/>
      <c r="D50" s="495"/>
      <c r="E50" s="265"/>
      <c r="F50" s="544"/>
      <c r="G50" s="516"/>
      <c r="H50" s="517"/>
      <c r="I50" s="517"/>
      <c r="J50" s="517"/>
      <c r="K50" s="517"/>
      <c r="L50" s="517"/>
      <c r="M50" s="517"/>
      <c r="N50" s="517"/>
      <c r="O50" s="517"/>
      <c r="P50" s="517"/>
      <c r="Q50" s="517"/>
      <c r="R50" s="517"/>
      <c r="S50" s="518"/>
      <c r="T50" s="546"/>
      <c r="U50" s="275"/>
      <c r="V50" s="407"/>
      <c r="W50" s="423"/>
      <c r="X50" s="1083"/>
      <c r="Y50" s="1083"/>
      <c r="Z50" s="1083"/>
      <c r="AA50" s="1083"/>
      <c r="AB50" s="1083"/>
      <c r="AC50" s="1083"/>
      <c r="AD50" s="1083"/>
      <c r="AE50" s="1083"/>
      <c r="AF50" s="1083"/>
      <c r="AG50" s="1083"/>
      <c r="AH50" s="1083"/>
      <c r="AI50" s="1083"/>
      <c r="AJ50" s="1083"/>
      <c r="AK50" s="1084"/>
      <c r="AL50" s="266"/>
      <c r="AM50" s="266"/>
      <c r="AN50" s="345"/>
      <c r="AO50" s="448"/>
      <c r="AP50" s="425"/>
      <c r="AQ50" s="253"/>
      <c r="AR50" s="253"/>
      <c r="AS50" s="253"/>
      <c r="AT50" s="253"/>
      <c r="AU50" s="253"/>
      <c r="AV50" s="259"/>
      <c r="AW50" s="256"/>
      <c r="AX50" s="256"/>
      <c r="AY50" s="430"/>
      <c r="AZ50" s="430"/>
      <c r="BA50" s="347"/>
      <c r="BB50" s="266"/>
      <c r="BC50" s="266"/>
      <c r="BD50" s="266"/>
      <c r="BE50" s="413"/>
      <c r="BF50" s="255"/>
      <c r="BG50" s="255"/>
      <c r="BH50" s="255"/>
      <c r="BI50" s="255"/>
      <c r="BJ50" s="255"/>
      <c r="BK50" s="255"/>
      <c r="BL50" s="255"/>
      <c r="BM50" s="255"/>
      <c r="BN50" s="537"/>
      <c r="BO50" s="255"/>
      <c r="BP50" s="255"/>
      <c r="BQ50" s="255"/>
      <c r="BR50" s="571"/>
      <c r="BS50" s="266"/>
      <c r="BT50" s="274"/>
      <c r="BU50" s="830"/>
      <c r="BV50" s="841"/>
      <c r="BW50" s="261"/>
      <c r="BX50" s="261"/>
      <c r="BY50" s="261"/>
      <c r="BZ50" s="261"/>
      <c r="CA50" s="261"/>
      <c r="CB50" s="261"/>
      <c r="CC50" s="261"/>
      <c r="CD50" s="261"/>
      <c r="CE50" s="261"/>
      <c r="CF50" s="261"/>
      <c r="CG50" s="261"/>
      <c r="CH50" s="261"/>
      <c r="CI50" s="835"/>
      <c r="CJ50" s="274"/>
      <c r="CK50" s="266"/>
      <c r="CL50" s="266"/>
      <c r="CM50" s="483"/>
      <c r="CN50" s="484"/>
      <c r="CO50" s="484"/>
      <c r="CP50" s="380"/>
      <c r="CQ50" s="489"/>
      <c r="CR50" s="489"/>
      <c r="CS50" s="489"/>
      <c r="CT50" s="489"/>
      <c r="CU50" s="489"/>
      <c r="CV50" s="489"/>
      <c r="CW50" s="489"/>
      <c r="CX50" s="489"/>
      <c r="CY50" s="489"/>
      <c r="CZ50" s="489"/>
      <c r="DA50" s="489"/>
      <c r="DB50" s="377"/>
      <c r="DC50" s="266"/>
      <c r="DD50" s="266"/>
      <c r="DE50" s="266"/>
      <c r="DF50" s="266"/>
      <c r="DG50" s="266"/>
      <c r="DH50" s="266"/>
      <c r="DI50" s="266"/>
      <c r="DJ50" s="266"/>
      <c r="DK50" s="266"/>
      <c r="DL50" s="266"/>
      <c r="DM50" s="266"/>
      <c r="DN50" s="266"/>
      <c r="DO50" s="266"/>
    </row>
    <row r="51" spans="1:119" s="7" customFormat="1" ht="11.25" customHeight="1">
      <c r="A51" s="495"/>
      <c r="B51" s="941"/>
      <c r="C51" s="942"/>
      <c r="D51" s="495"/>
      <c r="E51" s="265"/>
      <c r="F51" s="544"/>
      <c r="G51" s="516"/>
      <c r="H51" s="251" t="s">
        <v>216</v>
      </c>
      <c r="I51" s="251"/>
      <c r="J51" s="251"/>
      <c r="K51" s="523"/>
      <c r="L51" s="523"/>
      <c r="M51" s="523"/>
      <c r="N51" s="523"/>
      <c r="O51" s="523"/>
      <c r="P51" s="1050">
        <f>ZRB!G75</f>
        <v>0</v>
      </c>
      <c r="Q51" s="1050"/>
      <c r="R51" s="1050"/>
      <c r="S51" s="518"/>
      <c r="T51" s="546"/>
      <c r="U51" s="275"/>
      <c r="V51" s="408"/>
      <c r="W51" s="308"/>
      <c r="X51" s="1083">
        <f>IF(E11=1,"","Basis des von Ihnen erfassten Solarertrags von "&amp;ROUND(ZRB!G18,0)&amp;" kWh / kWp,Jahr am Standort "&amp;ZRB!G11&amp;".")</f>
      </c>
      <c r="Y51" s="1083"/>
      <c r="Z51" s="1083"/>
      <c r="AA51" s="1083"/>
      <c r="AB51" s="1083"/>
      <c r="AC51" s="1083"/>
      <c r="AD51" s="1083"/>
      <c r="AE51" s="1083"/>
      <c r="AF51" s="1083"/>
      <c r="AG51" s="1083"/>
      <c r="AH51" s="1083"/>
      <c r="AI51" s="1083"/>
      <c r="AJ51" s="1083"/>
      <c r="AK51" s="1084"/>
      <c r="AL51" s="266"/>
      <c r="AM51" s="266"/>
      <c r="AN51" s="345"/>
      <c r="AO51" s="448"/>
      <c r="AP51" s="260" t="str">
        <f>"AfA: "&amp;Kalkulation_Eigenstrom!AP25&amp;""</f>
        <v>AfA: </v>
      </c>
      <c r="AQ51" s="253"/>
      <c r="AR51" s="253"/>
      <c r="AS51" s="253"/>
      <c r="AT51" s="253"/>
      <c r="AU51" s="253"/>
      <c r="AV51" s="268" t="s">
        <v>6</v>
      </c>
      <c r="AW51" s="502">
        <v>10</v>
      </c>
      <c r="AX51" s="457" t="s">
        <v>324</v>
      </c>
      <c r="AY51" s="988">
        <f>ZRB!G47</f>
        <v>0</v>
      </c>
      <c r="AZ51" s="988"/>
      <c r="BA51" s="347"/>
      <c r="BB51" s="266"/>
      <c r="BC51" s="266"/>
      <c r="BD51" s="266"/>
      <c r="BE51" s="413"/>
      <c r="BF51" s="1034" t="str">
        <f>IF(AN35=0,"Hinweis: Die garantierte Einspeisevergütung nach EEG ist auf "&amp;AN31&amp;" Jahre begrenzt. Bei einer Anlagenlaufzeit von "&amp;AN33&amp;" Jahren muss der Strom nach dem "&amp;AN31&amp;". Jahr selbst vermarktet werden.","Hinweis: Bei einer Laufzeit von "&amp;AN41&amp;" Jahren ist keine Eigenvermarktung erforderlich. Das EEG garantiert die Mindestvergütung für diesen Zeitraum.")</f>
        <v>Hinweis: Bei einer Laufzeit von 20 Jahren ist keine Eigenvermarktung erforderlich. Das EEG garantiert die Mindestvergütung für diesen Zeitraum.</v>
      </c>
      <c r="BG51" s="1035"/>
      <c r="BH51" s="1035"/>
      <c r="BI51" s="1035"/>
      <c r="BJ51" s="1035"/>
      <c r="BK51" s="1035"/>
      <c r="BL51" s="1035"/>
      <c r="BM51" s="1035"/>
      <c r="BN51" s="1035"/>
      <c r="BO51" s="1035"/>
      <c r="BP51" s="1035"/>
      <c r="BQ51" s="1036"/>
      <c r="BR51" s="347"/>
      <c r="BS51" s="266"/>
      <c r="BT51" s="274"/>
      <c r="BU51" s="830"/>
      <c r="BV51" s="840">
        <f>IF(OR(BU17=1,BU19=1),"","PROBLEM:")</f>
      </c>
      <c r="BW51" s="261"/>
      <c r="BX51" s="261"/>
      <c r="BY51" s="843">
        <f>IF(OR(BU17=1,BU19=1),""," Die Höhe der voraussichtlich durchschnittlichen EEG-Umlage der nächsten")</f>
      </c>
      <c r="BZ51" s="261"/>
      <c r="CA51" s="261"/>
      <c r="CB51" s="261"/>
      <c r="CC51" s="261"/>
      <c r="CD51" s="261"/>
      <c r="CE51" s="261"/>
      <c r="CF51" s="261"/>
      <c r="CG51" s="261"/>
      <c r="CH51" s="261"/>
      <c r="CI51" s="835"/>
      <c r="CJ51" s="274"/>
      <c r="CK51" s="266"/>
      <c r="CL51" s="266"/>
      <c r="CM51" s="483"/>
      <c r="CN51" s="484"/>
      <c r="CO51" s="484"/>
      <c r="CP51" s="380"/>
      <c r="CQ51" s="1016" t="s">
        <v>315</v>
      </c>
      <c r="CR51" s="1016"/>
      <c r="CS51" s="1016"/>
      <c r="CT51" s="1016"/>
      <c r="CU51" s="1016"/>
      <c r="CV51" s="1016"/>
      <c r="CW51" s="1016"/>
      <c r="CX51" s="1016"/>
      <c r="CY51" s="1016"/>
      <c r="CZ51" s="1016"/>
      <c r="DA51" s="1016"/>
      <c r="DB51" s="377"/>
      <c r="DC51" s="266"/>
      <c r="DD51" s="266"/>
      <c r="DE51" s="266"/>
      <c r="DF51" s="266"/>
      <c r="DG51" s="266"/>
      <c r="DH51" s="266"/>
      <c r="DI51" s="266"/>
      <c r="DJ51" s="266"/>
      <c r="DK51" s="266"/>
      <c r="DL51" s="266"/>
      <c r="DM51" s="266"/>
      <c r="DN51" s="266"/>
      <c r="DO51" s="266"/>
    </row>
    <row r="52" spans="1:119" s="7" customFormat="1" ht="2.25" customHeight="1">
      <c r="A52" s="495"/>
      <c r="B52" s="941"/>
      <c r="C52" s="942"/>
      <c r="D52" s="495"/>
      <c r="E52" s="265"/>
      <c r="F52" s="544"/>
      <c r="G52" s="516"/>
      <c r="H52" s="517"/>
      <c r="I52" s="517"/>
      <c r="J52" s="517"/>
      <c r="K52" s="517"/>
      <c r="L52" s="517"/>
      <c r="M52" s="517"/>
      <c r="N52" s="517"/>
      <c r="O52" s="517"/>
      <c r="P52" s="517"/>
      <c r="Q52" s="517"/>
      <c r="R52" s="517"/>
      <c r="S52" s="518"/>
      <c r="T52" s="546"/>
      <c r="U52" s="275"/>
      <c r="V52" s="407"/>
      <c r="W52" s="423"/>
      <c r="X52" s="1083"/>
      <c r="Y52" s="1083"/>
      <c r="Z52" s="1083"/>
      <c r="AA52" s="1083"/>
      <c r="AB52" s="1083"/>
      <c r="AC52" s="1083"/>
      <c r="AD52" s="1083"/>
      <c r="AE52" s="1083"/>
      <c r="AF52" s="1083"/>
      <c r="AG52" s="1083"/>
      <c r="AH52" s="1083"/>
      <c r="AI52" s="1083"/>
      <c r="AJ52" s="1083"/>
      <c r="AK52" s="1084"/>
      <c r="AL52" s="266"/>
      <c r="AM52" s="266"/>
      <c r="AN52" s="345"/>
      <c r="AO52" s="448"/>
      <c r="AP52" s="425"/>
      <c r="AQ52" s="253"/>
      <c r="AR52" s="253"/>
      <c r="AS52" s="253"/>
      <c r="AT52" s="253"/>
      <c r="AU52" s="253"/>
      <c r="AV52" s="259"/>
      <c r="AW52" s="256"/>
      <c r="AX52" s="256"/>
      <c r="AY52" s="430"/>
      <c r="AZ52" s="430"/>
      <c r="BA52" s="347"/>
      <c r="BB52" s="266"/>
      <c r="BC52" s="266"/>
      <c r="BD52" s="266"/>
      <c r="BE52" s="413"/>
      <c r="BF52" s="1037"/>
      <c r="BG52" s="1038"/>
      <c r="BH52" s="1038"/>
      <c r="BI52" s="1038"/>
      <c r="BJ52" s="1038"/>
      <c r="BK52" s="1038"/>
      <c r="BL52" s="1038"/>
      <c r="BM52" s="1038"/>
      <c r="BN52" s="1038"/>
      <c r="BO52" s="1038"/>
      <c r="BP52" s="1038"/>
      <c r="BQ52" s="1039"/>
      <c r="BR52" s="347"/>
      <c r="BS52" s="266"/>
      <c r="BT52" s="274"/>
      <c r="BU52" s="830"/>
      <c r="BV52" s="841"/>
      <c r="BW52" s="261"/>
      <c r="BX52" s="261"/>
      <c r="BY52" s="261"/>
      <c r="BZ52" s="261"/>
      <c r="CA52" s="261"/>
      <c r="CB52" s="261"/>
      <c r="CC52" s="261"/>
      <c r="CD52" s="261"/>
      <c r="CE52" s="261"/>
      <c r="CF52" s="261"/>
      <c r="CG52" s="261"/>
      <c r="CH52" s="261"/>
      <c r="CI52" s="835"/>
      <c r="CJ52" s="274"/>
      <c r="CK52" s="266"/>
      <c r="CL52" s="266"/>
      <c r="CM52" s="463"/>
      <c r="CN52" s="464"/>
      <c r="CO52" s="464"/>
      <c r="CP52" s="464"/>
      <c r="CQ52" s="1017"/>
      <c r="CR52" s="1017"/>
      <c r="CS52" s="1017"/>
      <c r="CT52" s="1017"/>
      <c r="CU52" s="1017"/>
      <c r="CV52" s="1017"/>
      <c r="CW52" s="1017"/>
      <c r="CX52" s="1017"/>
      <c r="CY52" s="1017"/>
      <c r="CZ52" s="1017"/>
      <c r="DA52" s="1017"/>
      <c r="DB52" s="465"/>
      <c r="DC52" s="266"/>
      <c r="DD52" s="266"/>
      <c r="DE52" s="266"/>
      <c r="DF52" s="266"/>
      <c r="DG52" s="266"/>
      <c r="DH52" s="266"/>
      <c r="DI52" s="266"/>
      <c r="DJ52" s="266"/>
      <c r="DK52" s="266"/>
      <c r="DL52" s="266"/>
      <c r="DM52" s="266"/>
      <c r="DN52" s="266"/>
      <c r="DO52" s="266"/>
    </row>
    <row r="53" spans="1:119" s="7" customFormat="1" ht="11.25" customHeight="1">
      <c r="A53" s="495"/>
      <c r="B53" s="941"/>
      <c r="C53" s="942"/>
      <c r="D53" s="495"/>
      <c r="E53" s="265"/>
      <c r="F53" s="544"/>
      <c r="G53" s="516"/>
      <c r="H53" s="251" t="s">
        <v>7</v>
      </c>
      <c r="I53" s="251"/>
      <c r="J53" s="251"/>
      <c r="K53" s="523"/>
      <c r="L53" s="523"/>
      <c r="M53" s="523"/>
      <c r="N53" s="523"/>
      <c r="O53" s="523"/>
      <c r="P53" s="1050">
        <f>ZRB!G78</f>
        <v>0</v>
      </c>
      <c r="Q53" s="1050"/>
      <c r="R53" s="1050"/>
      <c r="S53" s="518"/>
      <c r="T53" s="546"/>
      <c r="U53" s="275"/>
      <c r="V53" s="408"/>
      <c r="W53" s="308"/>
      <c r="X53" s="1052">
        <f>IF(E11=1,"","high* = mögliche Solarerträge an Spitzentagen (Orientierungswerte).")</f>
      </c>
      <c r="Y53" s="1052"/>
      <c r="Z53" s="1052"/>
      <c r="AA53" s="1052"/>
      <c r="AB53" s="1052"/>
      <c r="AC53" s="1052"/>
      <c r="AD53" s="1052"/>
      <c r="AE53" s="1052"/>
      <c r="AF53" s="1052"/>
      <c r="AG53" s="1052"/>
      <c r="AH53" s="1052"/>
      <c r="AI53" s="1052"/>
      <c r="AJ53" s="1052"/>
      <c r="AK53" s="1053"/>
      <c r="AL53" s="266"/>
      <c r="AM53" s="266"/>
      <c r="AN53" s="345"/>
      <c r="AO53" s="448"/>
      <c r="AP53" s="260" t="str">
        <f>"AfA: "&amp;Kalkulation_Eigenstrom!AP29&amp;""</f>
        <v>AfA: </v>
      </c>
      <c r="AQ53" s="253"/>
      <c r="AR53" s="253"/>
      <c r="AS53" s="253"/>
      <c r="AT53" s="253"/>
      <c r="AU53" s="253"/>
      <c r="AV53" s="268" t="s">
        <v>6</v>
      </c>
      <c r="AW53" s="502">
        <v>20</v>
      </c>
      <c r="AX53" s="457" t="s">
        <v>324</v>
      </c>
      <c r="AY53" s="988">
        <f>ZRB!G53</f>
        <v>0</v>
      </c>
      <c r="AZ53" s="988"/>
      <c r="BA53" s="347"/>
      <c r="BB53" s="266"/>
      <c r="BC53" s="266"/>
      <c r="BD53" s="266"/>
      <c r="BE53" s="413"/>
      <c r="BF53" s="1040"/>
      <c r="BG53" s="1041"/>
      <c r="BH53" s="1041"/>
      <c r="BI53" s="1041"/>
      <c r="BJ53" s="1041"/>
      <c r="BK53" s="1041"/>
      <c r="BL53" s="1041"/>
      <c r="BM53" s="1041"/>
      <c r="BN53" s="1041"/>
      <c r="BO53" s="1041"/>
      <c r="BP53" s="1041"/>
      <c r="BQ53" s="1042"/>
      <c r="BR53" s="347"/>
      <c r="BS53" s="266"/>
      <c r="BT53" s="274"/>
      <c r="BU53" s="830"/>
      <c r="BV53" s="841">
        <f>IF(OR(BU17=1,BU19=1),"","20 (bis 30) Jahre muss selbst eingeschätzt werden, da sich der Abzug in jedem Jahr direkt")</f>
      </c>
      <c r="BW53" s="261"/>
      <c r="BX53" s="261"/>
      <c r="BY53" s="261"/>
      <c r="BZ53" s="261"/>
      <c r="CA53" s="261"/>
      <c r="CB53" s="261"/>
      <c r="CC53" s="261"/>
      <c r="CD53" s="261"/>
      <c r="CE53" s="261"/>
      <c r="CF53" s="261"/>
      <c r="CG53" s="261"/>
      <c r="CH53" s="261"/>
      <c r="CI53" s="835"/>
      <c r="CJ53" s="274"/>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6"/>
      <c r="DJ53" s="266"/>
      <c r="DK53" s="266"/>
      <c r="DL53" s="266"/>
      <c r="DM53" s="266"/>
      <c r="DN53" s="266"/>
      <c r="DO53" s="266"/>
    </row>
    <row r="54" spans="1:119" s="7" customFormat="1" ht="2.25" customHeight="1">
      <c r="A54" s="495"/>
      <c r="B54" s="941"/>
      <c r="C54" s="942"/>
      <c r="D54" s="495"/>
      <c r="E54" s="265"/>
      <c r="F54" s="544"/>
      <c r="G54" s="516"/>
      <c r="H54" s="517"/>
      <c r="I54" s="517"/>
      <c r="J54" s="517"/>
      <c r="K54" s="517"/>
      <c r="L54" s="517"/>
      <c r="M54" s="517"/>
      <c r="N54" s="517"/>
      <c r="O54" s="517"/>
      <c r="P54" s="517"/>
      <c r="Q54" s="517"/>
      <c r="R54" s="517"/>
      <c r="S54" s="518"/>
      <c r="T54" s="546"/>
      <c r="U54" s="275"/>
      <c r="V54" s="407"/>
      <c r="W54" s="423"/>
      <c r="X54" s="1052"/>
      <c r="Y54" s="1052"/>
      <c r="Z54" s="1052"/>
      <c r="AA54" s="1052"/>
      <c r="AB54" s="1052"/>
      <c r="AC54" s="1052"/>
      <c r="AD54" s="1052"/>
      <c r="AE54" s="1052"/>
      <c r="AF54" s="1052"/>
      <c r="AG54" s="1052"/>
      <c r="AH54" s="1052"/>
      <c r="AI54" s="1052"/>
      <c r="AJ54" s="1052"/>
      <c r="AK54" s="1053"/>
      <c r="AL54" s="266"/>
      <c r="AM54" s="266"/>
      <c r="AN54" s="345"/>
      <c r="AO54" s="448"/>
      <c r="AP54" s="425"/>
      <c r="AQ54" s="253"/>
      <c r="AR54" s="253"/>
      <c r="AS54" s="253"/>
      <c r="AT54" s="253"/>
      <c r="AU54" s="253"/>
      <c r="AV54" s="259"/>
      <c r="AW54" s="256"/>
      <c r="AX54" s="256"/>
      <c r="AY54" s="430"/>
      <c r="AZ54" s="430"/>
      <c r="BA54" s="347"/>
      <c r="BB54" s="266"/>
      <c r="BC54" s="266"/>
      <c r="BD54" s="266"/>
      <c r="BE54" s="572"/>
      <c r="BF54" s="573"/>
      <c r="BG54" s="573"/>
      <c r="BH54" s="573"/>
      <c r="BI54" s="573"/>
      <c r="BJ54" s="573"/>
      <c r="BK54" s="573"/>
      <c r="BL54" s="573"/>
      <c r="BM54" s="573"/>
      <c r="BN54" s="573"/>
      <c r="BO54" s="573"/>
      <c r="BP54" s="573"/>
      <c r="BQ54" s="573"/>
      <c r="BR54" s="347"/>
      <c r="BS54" s="266"/>
      <c r="BT54" s="274"/>
      <c r="BU54" s="830"/>
      <c r="BV54" s="841"/>
      <c r="BW54" s="261"/>
      <c r="BX54" s="261"/>
      <c r="BY54" s="261"/>
      <c r="BZ54" s="261"/>
      <c r="CA54" s="261"/>
      <c r="CB54" s="261"/>
      <c r="CC54" s="261"/>
      <c r="CD54" s="261"/>
      <c r="CE54" s="261"/>
      <c r="CF54" s="261"/>
      <c r="CG54" s="261"/>
      <c r="CH54" s="261"/>
      <c r="CI54" s="835"/>
      <c r="CJ54" s="274"/>
      <c r="CK54" s="266"/>
      <c r="CL54" s="266"/>
      <c r="CM54" s="439"/>
      <c r="CN54" s="440"/>
      <c r="CO54" s="440"/>
      <c r="CP54" s="440"/>
      <c r="CQ54" s="440"/>
      <c r="CR54" s="440"/>
      <c r="CS54" s="440"/>
      <c r="CT54" s="440"/>
      <c r="CU54" s="440"/>
      <c r="CV54" s="440"/>
      <c r="CW54" s="440"/>
      <c r="CX54" s="440"/>
      <c r="CY54" s="440"/>
      <c r="CZ54" s="440"/>
      <c r="DA54" s="440"/>
      <c r="DB54" s="441"/>
      <c r="DC54" s="266"/>
      <c r="DD54" s="266"/>
      <c r="DE54" s="266"/>
      <c r="DF54" s="266"/>
      <c r="DG54" s="266"/>
      <c r="DH54" s="266"/>
      <c r="DI54" s="266"/>
      <c r="DJ54" s="266"/>
      <c r="DK54" s="266"/>
      <c r="DL54" s="266"/>
      <c r="DM54" s="266"/>
      <c r="DN54" s="266"/>
      <c r="DO54" s="266"/>
    </row>
    <row r="55" spans="1:119" s="7" customFormat="1" ht="11.25" customHeight="1" thickBot="1">
      <c r="A55" s="495"/>
      <c r="B55" s="943"/>
      <c r="C55" s="944"/>
      <c r="D55" s="495"/>
      <c r="E55" s="265"/>
      <c r="F55" s="544"/>
      <c r="G55" s="519"/>
      <c r="H55" s="587" t="s">
        <v>366</v>
      </c>
      <c r="I55" s="271"/>
      <c r="J55" s="271"/>
      <c r="K55" s="532"/>
      <c r="L55" s="532"/>
      <c r="M55" s="532"/>
      <c r="N55" s="532"/>
      <c r="O55" s="532"/>
      <c r="P55" s="1051"/>
      <c r="Q55" s="1051"/>
      <c r="R55" s="1051"/>
      <c r="S55" s="521"/>
      <c r="T55" s="546"/>
      <c r="U55" s="275"/>
      <c r="V55" s="408"/>
      <c r="W55" s="308"/>
      <c r="X55" s="1059">
        <f>IF(E11=1,"","low* = mögliche Solarerträge an schwachen Tagen (Orientierungswerte).")</f>
      </c>
      <c r="Y55" s="1059"/>
      <c r="Z55" s="1059"/>
      <c r="AA55" s="1059"/>
      <c r="AB55" s="1059"/>
      <c r="AC55" s="1059"/>
      <c r="AD55" s="1059"/>
      <c r="AE55" s="1059"/>
      <c r="AF55" s="1059"/>
      <c r="AG55" s="1059"/>
      <c r="AH55" s="1059"/>
      <c r="AI55" s="1059"/>
      <c r="AJ55" s="1059"/>
      <c r="AK55" s="1060"/>
      <c r="AL55" s="266"/>
      <c r="AM55" s="266"/>
      <c r="AN55" s="345"/>
      <c r="AO55" s="448"/>
      <c r="AP55" s="260" t="str">
        <f>"AfA: "&amp;Kalkulation_Eigenstrom!AP31&amp;""</f>
        <v>AfA: </v>
      </c>
      <c r="AQ55" s="253"/>
      <c r="AR55" s="253"/>
      <c r="AS55" s="253"/>
      <c r="AT55" s="253"/>
      <c r="AU55" s="253"/>
      <c r="AV55" s="268" t="s">
        <v>6</v>
      </c>
      <c r="AW55" s="502">
        <v>20</v>
      </c>
      <c r="AX55" s="457" t="s">
        <v>324</v>
      </c>
      <c r="AY55" s="988">
        <f>ZRB!G54</f>
        <v>0</v>
      </c>
      <c r="AZ55" s="988"/>
      <c r="BA55" s="347"/>
      <c r="BB55" s="266"/>
      <c r="BC55" s="266"/>
      <c r="BD55" s="266"/>
      <c r="BE55" s="413"/>
      <c r="BF55" s="253"/>
      <c r="BG55" s="253"/>
      <c r="BH55" s="253"/>
      <c r="BI55" s="253"/>
      <c r="BJ55" s="253"/>
      <c r="BK55" s="253"/>
      <c r="BL55" s="253"/>
      <c r="BM55" s="253"/>
      <c r="BN55" s="253"/>
      <c r="BO55" s="253"/>
      <c r="BP55" s="253"/>
      <c r="BQ55" s="253"/>
      <c r="BR55" s="347"/>
      <c r="BS55" s="266"/>
      <c r="BT55" s="274"/>
      <c r="BU55" s="830"/>
      <c r="BV55" s="841">
        <f>IF(OR(BU17=1,BU19=1),"","an der Höhe der jeweils in dem Jahr gültigen EEG-Umlage bemessen wird.")</f>
      </c>
      <c r="BW55" s="261"/>
      <c r="BX55" s="261"/>
      <c r="BY55" s="261"/>
      <c r="BZ55" s="261"/>
      <c r="CA55" s="261"/>
      <c r="CB55" s="261"/>
      <c r="CC55" s="261"/>
      <c r="CD55" s="261"/>
      <c r="CE55" s="261"/>
      <c r="CF55" s="261"/>
      <c r="CG55" s="261"/>
      <c r="CH55" s="261"/>
      <c r="CI55" s="835"/>
      <c r="CJ55" s="274"/>
      <c r="CK55" s="266"/>
      <c r="CL55" s="266"/>
      <c r="CM55" s="936" t="s">
        <v>320</v>
      </c>
      <c r="CN55" s="937"/>
      <c r="CO55" s="937"/>
      <c r="CP55" s="937"/>
      <c r="CQ55" s="937"/>
      <c r="CR55" s="937"/>
      <c r="CS55" s="937"/>
      <c r="CT55" s="937"/>
      <c r="CU55" s="937"/>
      <c r="CV55" s="937"/>
      <c r="CW55" s="937"/>
      <c r="CX55" s="937"/>
      <c r="CY55" s="937"/>
      <c r="CZ55" s="937"/>
      <c r="DA55" s="937"/>
      <c r="DB55" s="952"/>
      <c r="DC55" s="266"/>
      <c r="DD55" s="266"/>
      <c r="DE55" s="266"/>
      <c r="DF55" s="266"/>
      <c r="DG55" s="266"/>
      <c r="DH55" s="266"/>
      <c r="DI55" s="266"/>
      <c r="DJ55" s="266"/>
      <c r="DK55" s="266"/>
      <c r="DL55" s="266"/>
      <c r="DM55" s="266"/>
      <c r="DN55" s="266"/>
      <c r="DO55" s="266"/>
    </row>
    <row r="56" spans="1:119" s="7" customFormat="1" ht="2.25" customHeight="1" thickTop="1">
      <c r="A56" s="495"/>
      <c r="B56" s="497"/>
      <c r="C56" s="495"/>
      <c r="D56" s="495"/>
      <c r="E56" s="545"/>
      <c r="F56" s="544"/>
      <c r="G56" s="278"/>
      <c r="H56" s="279"/>
      <c r="I56" s="279"/>
      <c r="J56" s="279"/>
      <c r="K56" s="279"/>
      <c r="L56" s="279"/>
      <c r="M56" s="279"/>
      <c r="N56" s="279"/>
      <c r="O56" s="280"/>
      <c r="P56" s="280"/>
      <c r="Q56" s="280"/>
      <c r="R56" s="280"/>
      <c r="S56" s="281"/>
      <c r="T56" s="546"/>
      <c r="U56" s="275"/>
      <c r="V56" s="409"/>
      <c r="W56" s="309"/>
      <c r="X56" s="1061"/>
      <c r="Y56" s="1061"/>
      <c r="Z56" s="1061"/>
      <c r="AA56" s="1061"/>
      <c r="AB56" s="1061"/>
      <c r="AC56" s="1061"/>
      <c r="AD56" s="1061"/>
      <c r="AE56" s="1061"/>
      <c r="AF56" s="1061"/>
      <c r="AG56" s="1061"/>
      <c r="AH56" s="1061"/>
      <c r="AI56" s="1061"/>
      <c r="AJ56" s="1061"/>
      <c r="AK56" s="1062"/>
      <c r="AL56" s="266"/>
      <c r="AM56" s="266"/>
      <c r="AN56" s="345"/>
      <c r="AO56" s="448"/>
      <c r="AP56" s="425"/>
      <c r="AQ56" s="253"/>
      <c r="AR56" s="253"/>
      <c r="AS56" s="253"/>
      <c r="AT56" s="253"/>
      <c r="AU56" s="253"/>
      <c r="AV56" s="259"/>
      <c r="AW56" s="256"/>
      <c r="AX56" s="256"/>
      <c r="AY56" s="430"/>
      <c r="AZ56" s="430"/>
      <c r="BA56" s="347"/>
      <c r="BB56" s="266"/>
      <c r="BC56" s="266"/>
      <c r="BD56" s="266"/>
      <c r="BE56" s="413"/>
      <c r="BF56" s="253"/>
      <c r="BG56" s="253"/>
      <c r="BH56" s="253"/>
      <c r="BI56" s="253"/>
      <c r="BJ56" s="253"/>
      <c r="BK56" s="253"/>
      <c r="BL56" s="253"/>
      <c r="BM56" s="253"/>
      <c r="BN56" s="253"/>
      <c r="BO56" s="253"/>
      <c r="BP56" s="676"/>
      <c r="BQ56" s="253"/>
      <c r="BR56" s="347"/>
      <c r="BS56" s="266"/>
      <c r="BT56" s="274"/>
      <c r="BU56" s="830"/>
      <c r="BV56" s="841"/>
      <c r="BW56" s="261"/>
      <c r="BX56" s="261"/>
      <c r="BY56" s="261"/>
      <c r="BZ56" s="261"/>
      <c r="CA56" s="261"/>
      <c r="CB56" s="261"/>
      <c r="CC56" s="261"/>
      <c r="CD56" s="261"/>
      <c r="CE56" s="261"/>
      <c r="CF56" s="261"/>
      <c r="CG56" s="261"/>
      <c r="CH56" s="261"/>
      <c r="CI56" s="835"/>
      <c r="CJ56" s="274"/>
      <c r="CK56" s="266"/>
      <c r="CL56" s="266"/>
      <c r="CM56" s="936"/>
      <c r="CN56" s="937"/>
      <c r="CO56" s="937"/>
      <c r="CP56" s="937"/>
      <c r="CQ56" s="937"/>
      <c r="CR56" s="937"/>
      <c r="CS56" s="937"/>
      <c r="CT56" s="937"/>
      <c r="CU56" s="937"/>
      <c r="CV56" s="937"/>
      <c r="CW56" s="937"/>
      <c r="CX56" s="937"/>
      <c r="CY56" s="937"/>
      <c r="CZ56" s="937"/>
      <c r="DA56" s="937"/>
      <c r="DB56" s="952"/>
      <c r="DC56" s="266"/>
      <c r="DD56" s="266"/>
      <c r="DE56" s="266"/>
      <c r="DF56" s="266"/>
      <c r="DG56" s="266"/>
      <c r="DH56" s="266"/>
      <c r="DI56" s="266"/>
      <c r="DJ56" s="266"/>
      <c r="DK56" s="266"/>
      <c r="DL56" s="266"/>
      <c r="DM56" s="266"/>
      <c r="DN56" s="266"/>
      <c r="DO56" s="266"/>
    </row>
    <row r="57" spans="1:119" s="7" customFormat="1" ht="11.25" customHeight="1">
      <c r="A57" s="495"/>
      <c r="B57" s="497"/>
      <c r="C57" s="495"/>
      <c r="D57" s="495"/>
      <c r="E57" s="545"/>
      <c r="F57" s="544"/>
      <c r="G57" s="1066" t="s">
        <v>274</v>
      </c>
      <c r="H57" s="1067"/>
      <c r="I57" s="1067"/>
      <c r="J57" s="1067"/>
      <c r="K57" s="1067"/>
      <c r="L57" s="540"/>
      <c r="M57" s="540"/>
      <c r="N57" s="540"/>
      <c r="O57" s="540"/>
      <c r="P57" s="1068">
        <f>ZRB!G23</f>
        <v>0</v>
      </c>
      <c r="Q57" s="1068"/>
      <c r="R57" s="1068"/>
      <c r="S57" s="542"/>
      <c r="T57" s="546"/>
      <c r="U57" s="275"/>
      <c r="V57" s="166"/>
      <c r="W57" s="166"/>
      <c r="X57" s="166"/>
      <c r="Y57" s="166"/>
      <c r="Z57" s="166"/>
      <c r="AA57" s="166"/>
      <c r="AB57" s="166"/>
      <c r="AC57" s="166"/>
      <c r="AD57" s="166"/>
      <c r="AE57" s="166"/>
      <c r="AF57" s="166"/>
      <c r="AG57" s="166"/>
      <c r="AH57" s="166"/>
      <c r="AI57" s="166"/>
      <c r="AJ57" s="166"/>
      <c r="AK57" s="166"/>
      <c r="AL57" s="266"/>
      <c r="AM57" s="266"/>
      <c r="AN57" s="345"/>
      <c r="AO57" s="448"/>
      <c r="AP57" s="260" t="str">
        <f>"AfA: "&amp;Kalkulation_Eigenstrom!AP33&amp;""</f>
        <v>AfA: </v>
      </c>
      <c r="AQ57" s="253"/>
      <c r="AR57" s="253"/>
      <c r="AS57" s="253"/>
      <c r="AT57" s="253"/>
      <c r="AU57" s="253"/>
      <c r="AV57" s="268" t="s">
        <v>6</v>
      </c>
      <c r="AW57" s="502">
        <v>10</v>
      </c>
      <c r="AX57" s="457" t="s">
        <v>324</v>
      </c>
      <c r="AY57" s="988">
        <f>ZRB!G55</f>
        <v>0</v>
      </c>
      <c r="AZ57" s="988"/>
      <c r="BA57" s="347"/>
      <c r="BB57" s="266"/>
      <c r="BC57" s="266"/>
      <c r="BD57" s="266"/>
      <c r="BE57" s="986" t="s">
        <v>334</v>
      </c>
      <c r="BF57" s="987"/>
      <c r="BG57" s="987"/>
      <c r="BH57" s="987"/>
      <c r="BI57" s="987"/>
      <c r="BJ57" s="987"/>
      <c r="BK57" s="987"/>
      <c r="BL57" s="987"/>
      <c r="BM57" s="987"/>
      <c r="BN57" s="987"/>
      <c r="BO57" s="985">
        <f>ZRB!G85</f>
        <v>0</v>
      </c>
      <c r="BP57" s="985"/>
      <c r="BQ57" s="985"/>
      <c r="BR57" s="347"/>
      <c r="BS57" s="266"/>
      <c r="BT57" s="274"/>
      <c r="BU57" s="830"/>
      <c r="BV57" s="841">
        <f>IF(OR(BU17=1,BU19=1),"","Als Benutzer müssen Sie in eigener Verantwortung einen ")</f>
      </c>
      <c r="BW57" s="261"/>
      <c r="BX57" s="261"/>
      <c r="BY57" s="261"/>
      <c r="BZ57" s="261"/>
      <c r="CA57" s="261"/>
      <c r="CB57" s="261"/>
      <c r="CC57" s="261"/>
      <c r="CD57" s="261"/>
      <c r="CE57" s="261"/>
      <c r="CF57" s="261"/>
      <c r="CG57" s="261"/>
      <c r="CH57" s="261"/>
      <c r="CI57" s="835"/>
      <c r="CJ57" s="274"/>
      <c r="CK57" s="266"/>
      <c r="CL57" s="266"/>
      <c r="CM57" s="936"/>
      <c r="CN57" s="937"/>
      <c r="CO57" s="937"/>
      <c r="CP57" s="937"/>
      <c r="CQ57" s="937"/>
      <c r="CR57" s="937"/>
      <c r="CS57" s="937"/>
      <c r="CT57" s="937"/>
      <c r="CU57" s="937"/>
      <c r="CV57" s="937"/>
      <c r="CW57" s="937"/>
      <c r="CX57" s="937"/>
      <c r="CY57" s="937"/>
      <c r="CZ57" s="937"/>
      <c r="DA57" s="937"/>
      <c r="DB57" s="952"/>
      <c r="DC57" s="266"/>
      <c r="DD57" s="266"/>
      <c r="DE57" s="266"/>
      <c r="DF57" s="266"/>
      <c r="DG57" s="266"/>
      <c r="DH57" s="266"/>
      <c r="DI57" s="266"/>
      <c r="DJ57" s="266"/>
      <c r="DK57" s="266"/>
      <c r="DL57" s="266"/>
      <c r="DM57" s="266"/>
      <c r="DN57" s="266"/>
      <c r="DO57" s="266"/>
    </row>
    <row r="58" spans="1:119" s="7" customFormat="1" ht="2.25" customHeight="1" thickBot="1">
      <c r="A58" s="495"/>
      <c r="B58" s="497"/>
      <c r="C58" s="495"/>
      <c r="D58" s="495"/>
      <c r="E58" s="545"/>
      <c r="F58" s="544"/>
      <c r="G58" s="1066"/>
      <c r="H58" s="1067"/>
      <c r="I58" s="1067"/>
      <c r="J58" s="1067"/>
      <c r="K58" s="1067"/>
      <c r="L58" s="540"/>
      <c r="M58" s="540"/>
      <c r="N58" s="540"/>
      <c r="O58" s="540"/>
      <c r="P58" s="543"/>
      <c r="Q58" s="543"/>
      <c r="R58" s="543"/>
      <c r="S58" s="542"/>
      <c r="T58" s="546"/>
      <c r="U58" s="275"/>
      <c r="V58" s="278"/>
      <c r="W58" s="279"/>
      <c r="X58" s="279"/>
      <c r="Y58" s="279"/>
      <c r="Z58" s="279"/>
      <c r="AA58" s="279"/>
      <c r="AB58" s="279"/>
      <c r="AC58" s="279"/>
      <c r="AD58" s="280"/>
      <c r="AE58" s="280"/>
      <c r="AF58" s="280"/>
      <c r="AG58" s="280"/>
      <c r="AH58" s="280"/>
      <c r="AI58" s="280"/>
      <c r="AJ58" s="280"/>
      <c r="AK58" s="281"/>
      <c r="AL58" s="266"/>
      <c r="AM58" s="266"/>
      <c r="AN58" s="345"/>
      <c r="AO58" s="448"/>
      <c r="AP58" s="425"/>
      <c r="AQ58" s="253"/>
      <c r="AR58" s="253"/>
      <c r="AS58" s="253"/>
      <c r="AT58" s="253"/>
      <c r="AU58" s="253"/>
      <c r="AV58" s="253"/>
      <c r="AW58" s="256"/>
      <c r="AX58" s="256"/>
      <c r="AY58" s="431"/>
      <c r="AZ58" s="431"/>
      <c r="BA58" s="347"/>
      <c r="BB58" s="266"/>
      <c r="BC58" s="266"/>
      <c r="BD58" s="266"/>
      <c r="BE58" s="986"/>
      <c r="BF58" s="987"/>
      <c r="BG58" s="987"/>
      <c r="BH58" s="987"/>
      <c r="BI58" s="987"/>
      <c r="BJ58" s="987"/>
      <c r="BK58" s="987"/>
      <c r="BL58" s="987"/>
      <c r="BM58" s="987"/>
      <c r="BN58" s="987"/>
      <c r="BO58" s="985"/>
      <c r="BP58" s="985"/>
      <c r="BQ58" s="985"/>
      <c r="BR58" s="347"/>
      <c r="BS58" s="266"/>
      <c r="BT58" s="274"/>
      <c r="BU58" s="830"/>
      <c r="BV58" s="841"/>
      <c r="BW58" s="274"/>
      <c r="BX58" s="274"/>
      <c r="BY58" s="274"/>
      <c r="BZ58" s="274"/>
      <c r="CA58" s="274"/>
      <c r="CB58" s="274"/>
      <c r="CC58" s="274"/>
      <c r="CD58" s="274"/>
      <c r="CE58" s="274"/>
      <c r="CF58" s="274"/>
      <c r="CG58" s="274"/>
      <c r="CH58" s="274"/>
      <c r="CI58" s="833"/>
      <c r="CJ58" s="274"/>
      <c r="CK58" s="266"/>
      <c r="CL58" s="266"/>
      <c r="CM58" s="442"/>
      <c r="CN58" s="390"/>
      <c r="CO58" s="390"/>
      <c r="CP58" s="390"/>
      <c r="CQ58" s="390"/>
      <c r="CR58" s="390"/>
      <c r="CS58" s="390"/>
      <c r="CT58" s="390"/>
      <c r="CU58" s="390"/>
      <c r="CV58" s="390"/>
      <c r="CW58" s="390"/>
      <c r="CX58" s="390"/>
      <c r="CY58" s="390"/>
      <c r="CZ58" s="390"/>
      <c r="DA58" s="390"/>
      <c r="DB58" s="443"/>
      <c r="DC58" s="266"/>
      <c r="DD58" s="266"/>
      <c r="DE58" s="266"/>
      <c r="DF58" s="266"/>
      <c r="DG58" s="266"/>
      <c r="DH58" s="266"/>
      <c r="DI58" s="266"/>
      <c r="DJ58" s="266"/>
      <c r="DK58" s="266"/>
      <c r="DL58" s="266"/>
      <c r="DM58" s="266"/>
      <c r="DN58" s="266"/>
      <c r="DO58" s="266"/>
    </row>
    <row r="59" spans="1:119" s="7" customFormat="1" ht="11.25" customHeight="1" thickTop="1">
      <c r="A59" s="495"/>
      <c r="B59" s="939" t="s">
        <v>561</v>
      </c>
      <c r="C59" s="940"/>
      <c r="D59" s="495"/>
      <c r="E59" s="545"/>
      <c r="F59" s="544"/>
      <c r="G59" s="516"/>
      <c r="H59" s="527" t="s">
        <v>359</v>
      </c>
      <c r="I59" s="251"/>
      <c r="J59" s="251"/>
      <c r="K59" s="523"/>
      <c r="L59" s="523"/>
      <c r="M59" s="523"/>
      <c r="N59" s="523"/>
      <c r="O59" s="523"/>
      <c r="P59" s="1055">
        <f>ZRB!G32</f>
        <v>0</v>
      </c>
      <c r="Q59" s="1055"/>
      <c r="R59" s="1055"/>
      <c r="S59" s="518"/>
      <c r="T59" s="546"/>
      <c r="U59" s="275"/>
      <c r="V59" s="961" t="s">
        <v>306</v>
      </c>
      <c r="W59" s="962"/>
      <c r="X59" s="962"/>
      <c r="Y59" s="962"/>
      <c r="Z59" s="962"/>
      <c r="AA59" s="962"/>
      <c r="AB59" s="962"/>
      <c r="AC59" s="962"/>
      <c r="AD59" s="962"/>
      <c r="AE59" s="962"/>
      <c r="AF59" s="962"/>
      <c r="AG59" s="962"/>
      <c r="AH59" s="962"/>
      <c r="AI59" s="962"/>
      <c r="AJ59" s="962"/>
      <c r="AK59" s="963"/>
      <c r="AL59" s="266"/>
      <c r="AM59" s="266"/>
      <c r="AN59" s="249">
        <v>50</v>
      </c>
      <c r="AO59" s="448"/>
      <c r="AP59" s="260" t="s">
        <v>228</v>
      </c>
      <c r="AQ59" s="253"/>
      <c r="AR59" s="253"/>
      <c r="AS59" s="436"/>
      <c r="AT59" s="436"/>
      <c r="AU59" s="437"/>
      <c r="AV59" s="438" t="s">
        <v>310</v>
      </c>
      <c r="AW59" s="1090">
        <f>ZRB!F58</f>
        <v>0.05</v>
      </c>
      <c r="AX59" s="1091"/>
      <c r="AY59" s="988">
        <f>ZRB!G58</f>
        <v>0</v>
      </c>
      <c r="AZ59" s="988"/>
      <c r="BA59" s="347"/>
      <c r="BB59" s="266"/>
      <c r="BC59" s="266"/>
      <c r="BD59" s="266"/>
      <c r="BE59" s="679"/>
      <c r="BF59" s="680"/>
      <c r="BG59" s="680"/>
      <c r="BH59" s="680"/>
      <c r="BI59" s="680"/>
      <c r="BJ59" s="680"/>
      <c r="BK59" s="680"/>
      <c r="BL59" s="680"/>
      <c r="BM59" s="680"/>
      <c r="BN59" s="680"/>
      <c r="BO59" s="677"/>
      <c r="BP59" s="677"/>
      <c r="BQ59" s="677"/>
      <c r="BR59" s="347"/>
      <c r="BS59" s="266"/>
      <c r="BT59" s="274"/>
      <c r="BU59" s="830"/>
      <c r="BV59" s="840">
        <f>IF(OR(BU17=1,BU19=1),"","Schätzwert für die Höhe der Ø EEG-Umlage während der "&amp;ROUND(E33,0)&amp;" Jahre Laufzeit")</f>
      </c>
      <c r="BW59" s="274"/>
      <c r="BX59" s="274"/>
      <c r="BY59" s="274"/>
      <c r="BZ59" s="274"/>
      <c r="CA59" s="274"/>
      <c r="CB59" s="274"/>
      <c r="CC59" s="274"/>
      <c r="CD59" s="274"/>
      <c r="CE59" s="274"/>
      <c r="CF59" s="274"/>
      <c r="CG59" s="274"/>
      <c r="CH59" s="274"/>
      <c r="CI59" s="833"/>
      <c r="CJ59" s="274"/>
      <c r="CK59" s="266"/>
      <c r="CL59" s="265">
        <v>210</v>
      </c>
      <c r="CM59" s="442"/>
      <c r="CN59" s="1005" t="s">
        <v>327</v>
      </c>
      <c r="CO59" s="1005"/>
      <c r="CP59" s="1005"/>
      <c r="CQ59" s="1005"/>
      <c r="CR59" s="1005"/>
      <c r="CS59" s="1005"/>
      <c r="CT59" s="1005"/>
      <c r="CU59" s="1005"/>
      <c r="CV59" s="435"/>
      <c r="CW59" s="1044">
        <f>CL59/1000</f>
        <v>0.21</v>
      </c>
      <c r="CX59" s="1045"/>
      <c r="CY59" s="390"/>
      <c r="CZ59" s="390"/>
      <c r="DA59" s="390"/>
      <c r="DB59" s="443"/>
      <c r="DC59" s="266"/>
      <c r="DD59" s="266"/>
      <c r="DE59" s="266"/>
      <c r="DF59" s="266"/>
      <c r="DG59" s="266"/>
      <c r="DH59" s="266"/>
      <c r="DI59" s="266"/>
      <c r="DJ59" s="266"/>
      <c r="DK59" s="266"/>
      <c r="DL59" s="266"/>
      <c r="DM59" s="266"/>
      <c r="DN59" s="266"/>
      <c r="DO59" s="266"/>
    </row>
    <row r="60" spans="1:119" s="7" customFormat="1" ht="2.25" customHeight="1">
      <c r="A60" s="495"/>
      <c r="B60" s="941"/>
      <c r="C60" s="942"/>
      <c r="D60" s="495"/>
      <c r="E60" s="545"/>
      <c r="F60" s="544"/>
      <c r="G60" s="516"/>
      <c r="H60" s="563"/>
      <c r="I60" s="254"/>
      <c r="J60" s="254"/>
      <c r="K60" s="517"/>
      <c r="L60" s="517"/>
      <c r="M60" s="517"/>
      <c r="N60" s="517"/>
      <c r="O60" s="517"/>
      <c r="P60" s="522"/>
      <c r="Q60" s="522"/>
      <c r="R60" s="522"/>
      <c r="S60" s="518"/>
      <c r="T60" s="546"/>
      <c r="U60" s="275"/>
      <c r="V60" s="961"/>
      <c r="W60" s="962"/>
      <c r="X60" s="962"/>
      <c r="Y60" s="962"/>
      <c r="Z60" s="962"/>
      <c r="AA60" s="962"/>
      <c r="AB60" s="962"/>
      <c r="AC60" s="962"/>
      <c r="AD60" s="962"/>
      <c r="AE60" s="962"/>
      <c r="AF60" s="962"/>
      <c r="AG60" s="962"/>
      <c r="AH60" s="962"/>
      <c r="AI60" s="962"/>
      <c r="AJ60" s="962"/>
      <c r="AK60" s="963"/>
      <c r="AL60" s="266"/>
      <c r="AM60" s="266"/>
      <c r="AN60" s="345"/>
      <c r="AO60" s="448"/>
      <c r="AP60" s="974" t="s">
        <v>317</v>
      </c>
      <c r="AQ60" s="974"/>
      <c r="AR60" s="974"/>
      <c r="AS60" s="974"/>
      <c r="AT60" s="974"/>
      <c r="AU60" s="974"/>
      <c r="AV60" s="974"/>
      <c r="AW60" s="974"/>
      <c r="AX60" s="974"/>
      <c r="AY60" s="965">
        <f>ZRB!G71</f>
        <v>0</v>
      </c>
      <c r="AZ60" s="965"/>
      <c r="BA60" s="455"/>
      <c r="BB60" s="266"/>
      <c r="BC60" s="266"/>
      <c r="BD60" s="266"/>
      <c r="BE60" s="679"/>
      <c r="BF60" s="680"/>
      <c r="BG60" s="680"/>
      <c r="BH60" s="680"/>
      <c r="BI60" s="680"/>
      <c r="BJ60" s="680"/>
      <c r="BK60" s="680"/>
      <c r="BL60" s="680"/>
      <c r="BM60" s="680"/>
      <c r="BN60" s="680"/>
      <c r="BO60" s="677"/>
      <c r="BP60" s="677"/>
      <c r="BQ60" s="677"/>
      <c r="BR60" s="347"/>
      <c r="BS60" s="266"/>
      <c r="BT60" s="274"/>
      <c r="BU60" s="830"/>
      <c r="BV60" s="842"/>
      <c r="BW60" s="274"/>
      <c r="BX60" s="274"/>
      <c r="BY60" s="274"/>
      <c r="BZ60" s="274"/>
      <c r="CA60" s="274"/>
      <c r="CB60" s="274"/>
      <c r="CC60" s="274"/>
      <c r="CD60" s="274"/>
      <c r="CE60" s="274"/>
      <c r="CF60" s="274"/>
      <c r="CG60" s="274"/>
      <c r="CH60" s="274"/>
      <c r="CI60" s="833"/>
      <c r="CJ60" s="274"/>
      <c r="CK60" s="266"/>
      <c r="CL60" s="266"/>
      <c r="CM60" s="442"/>
      <c r="CN60" s="1005"/>
      <c r="CO60" s="1005"/>
      <c r="CP60" s="1005"/>
      <c r="CQ60" s="1005"/>
      <c r="CR60" s="1005"/>
      <c r="CS60" s="1005"/>
      <c r="CT60" s="1005"/>
      <c r="CU60" s="1005"/>
      <c r="CV60" s="435"/>
      <c r="CW60" s="435"/>
      <c r="CX60" s="435"/>
      <c r="CY60" s="390"/>
      <c r="CZ60" s="390"/>
      <c r="DA60" s="390"/>
      <c r="DB60" s="443"/>
      <c r="DC60" s="266"/>
      <c r="DD60" s="266"/>
      <c r="DE60" s="266"/>
      <c r="DF60" s="266"/>
      <c r="DG60" s="266"/>
      <c r="DH60" s="266"/>
      <c r="DI60" s="266"/>
      <c r="DJ60" s="266"/>
      <c r="DK60" s="266"/>
      <c r="DL60" s="266"/>
      <c r="DM60" s="266"/>
      <c r="DN60" s="266"/>
      <c r="DO60" s="266"/>
    </row>
    <row r="61" spans="1:119" s="7" customFormat="1" ht="11.25" customHeight="1">
      <c r="A61" s="495"/>
      <c r="B61" s="941"/>
      <c r="C61" s="942"/>
      <c r="D61" s="495"/>
      <c r="E61" s="545"/>
      <c r="F61" s="544"/>
      <c r="G61" s="516"/>
      <c r="H61" s="527" t="s">
        <v>362</v>
      </c>
      <c r="I61" s="517"/>
      <c r="J61" s="517"/>
      <c r="K61" s="517"/>
      <c r="L61" s="517"/>
      <c r="M61" s="1064">
        <f>ZRB!F30/100</f>
        <v>0.3</v>
      </c>
      <c r="N61" s="1065"/>
      <c r="O61" s="517"/>
      <c r="P61" s="1055">
        <f>ZRB!G31</f>
        <v>0</v>
      </c>
      <c r="Q61" s="1055"/>
      <c r="R61" s="1055"/>
      <c r="S61" s="518"/>
      <c r="T61" s="546"/>
      <c r="U61" s="275"/>
      <c r="V61" s="961"/>
      <c r="W61" s="962"/>
      <c r="X61" s="962"/>
      <c r="Y61" s="962"/>
      <c r="Z61" s="962"/>
      <c r="AA61" s="962"/>
      <c r="AB61" s="962"/>
      <c r="AC61" s="962"/>
      <c r="AD61" s="962"/>
      <c r="AE61" s="962"/>
      <c r="AF61" s="962"/>
      <c r="AG61" s="962"/>
      <c r="AH61" s="962"/>
      <c r="AI61" s="962"/>
      <c r="AJ61" s="962"/>
      <c r="AK61" s="963"/>
      <c r="AL61" s="266"/>
      <c r="AM61" s="266"/>
      <c r="AN61" s="345"/>
      <c r="AO61" s="447"/>
      <c r="AP61" s="974"/>
      <c r="AQ61" s="974"/>
      <c r="AR61" s="974"/>
      <c r="AS61" s="974"/>
      <c r="AT61" s="974"/>
      <c r="AU61" s="974"/>
      <c r="AV61" s="974"/>
      <c r="AW61" s="974"/>
      <c r="AX61" s="974"/>
      <c r="AY61" s="965"/>
      <c r="AZ61" s="965"/>
      <c r="BA61" s="455"/>
      <c r="BB61" s="266"/>
      <c r="BC61" s="266"/>
      <c r="BD61" s="266"/>
      <c r="BE61" s="413"/>
      <c r="BF61" s="996">
        <f>IF(Kalkulation_Eigenstrom!AN49=3,"","bis "&amp;ZRB!Z7*100&amp;"%")</f>
      </c>
      <c r="BG61" s="959">
        <f>IF(OR(Kalkulation_Eigenstrom!$AN$49=3,$BM$61=0),"",ZRB!V9)</f>
      </c>
      <c r="BH61" s="959"/>
      <c r="BI61" s="964">
        <f>IF(OR(Kalkulation_Eigenstrom!$AN$49=3,$BM$61=0),"",ZRB!W9)</f>
      </c>
      <c r="BJ61" s="964"/>
      <c r="BK61" s="968">
        <f>IF(OR(Kalkulation_Eigenstrom!$AN$49=3,$BM$61=0),"",ZRB!AE9)</f>
      </c>
      <c r="BL61" s="968"/>
      <c r="BM61" s="953">
        <f>IF(Kalkulation_Eigenstrom!AN49=3,"",ZRB!Z9)</f>
      </c>
      <c r="BN61" s="953"/>
      <c r="BO61" s="999">
        <f>IF(Kalkulation_Eigenstrom!$AN$49&lt;3,IF(ZRB!G89&gt;ZRB!G90,""&amp;ROUND(ZRB!G91*100,1)&amp;"%
(0-"&amp;ZRB!G90&amp;"J.)",""),"")</f>
      </c>
      <c r="BP61" s="979">
        <f>ZRB!G83</f>
        <v>0</v>
      </c>
      <c r="BQ61" s="979"/>
      <c r="BR61" s="347"/>
      <c r="BS61" s="266"/>
      <c r="BT61" s="274"/>
      <c r="BU61" s="830"/>
      <c r="BV61" s="841">
        <f>IF(OR(BU17=1,BU19=1),"","im Programm vorgeben. Die zu bezahlenden EEG- Umlageanteile werden anhand dieses")</f>
      </c>
      <c r="BW61" s="274"/>
      <c r="BX61" s="274"/>
      <c r="BY61" s="274"/>
      <c r="BZ61" s="274"/>
      <c r="CA61" s="274"/>
      <c r="CB61" s="274"/>
      <c r="CC61" s="274"/>
      <c r="CD61" s="274"/>
      <c r="CE61" s="274"/>
      <c r="CF61" s="274"/>
      <c r="CG61" s="274"/>
      <c r="CH61" s="274"/>
      <c r="CI61" s="833"/>
      <c r="CJ61" s="274"/>
      <c r="CK61" s="266"/>
      <c r="CL61" s="265">
        <v>10</v>
      </c>
      <c r="CM61" s="442"/>
      <c r="CN61" s="1018" t="s">
        <v>321</v>
      </c>
      <c r="CO61" s="1018"/>
      <c r="CP61" s="1018"/>
      <c r="CQ61" s="1007" t="s">
        <v>322</v>
      </c>
      <c r="CR61" s="1007"/>
      <c r="CS61" s="1007"/>
      <c r="CT61" s="1007"/>
      <c r="CU61" s="1007"/>
      <c r="CV61" s="435"/>
      <c r="CW61" s="1001">
        <f>ZRB!G99</f>
        <v>0.01</v>
      </c>
      <c r="CX61" s="1002"/>
      <c r="CY61" s="390"/>
      <c r="CZ61" s="390"/>
      <c r="DA61" s="390"/>
      <c r="DB61" s="443"/>
      <c r="DC61" s="266"/>
      <c r="DD61" s="266"/>
      <c r="DE61" s="266"/>
      <c r="DF61" s="266"/>
      <c r="DG61" s="266"/>
      <c r="DH61" s="266"/>
      <c r="DI61" s="266"/>
      <c r="DJ61" s="266"/>
      <c r="DK61" s="266"/>
      <c r="DL61" s="266"/>
      <c r="DM61" s="266"/>
      <c r="DN61" s="266"/>
      <c r="DO61" s="266"/>
    </row>
    <row r="62" spans="1:119" s="7" customFormat="1" ht="2.25" customHeight="1" thickBot="1">
      <c r="A62" s="495"/>
      <c r="B62" s="941"/>
      <c r="C62" s="942"/>
      <c r="D62" s="495"/>
      <c r="E62" s="545"/>
      <c r="F62" s="544"/>
      <c r="G62" s="863"/>
      <c r="H62" s="864"/>
      <c r="I62" s="864"/>
      <c r="J62" s="864"/>
      <c r="K62" s="864"/>
      <c r="L62" s="864"/>
      <c r="M62" s="864"/>
      <c r="N62" s="864"/>
      <c r="O62" s="864"/>
      <c r="P62" s="864"/>
      <c r="Q62" s="864"/>
      <c r="R62" s="864"/>
      <c r="S62" s="865"/>
      <c r="T62" s="546"/>
      <c r="U62" s="275"/>
      <c r="V62" s="410"/>
      <c r="W62" s="1092" t="str">
        <f>ZRB!B16</f>
        <v>Ab 04/2012 entfällt die Förderung der Eigenstromnutzung durch das EEG. Bei Dachanlagen von 10 - 1.000 kWp wird  darüber hinaus eine "Mindesteigenstromnutzung" von 10% gefordert (Die Einspeisevergütung wurde beschränkt auf 90% des erzeugten Stroms; Marktintegrationsmodell EEG)</v>
      </c>
      <c r="X62" s="1092"/>
      <c r="Y62" s="1092"/>
      <c r="Z62" s="1092"/>
      <c r="AA62" s="1092"/>
      <c r="AB62" s="1092"/>
      <c r="AC62" s="1092"/>
      <c r="AD62" s="1092"/>
      <c r="AE62" s="1092"/>
      <c r="AF62" s="1092"/>
      <c r="AG62" s="1092"/>
      <c r="AH62" s="1092"/>
      <c r="AI62" s="1092"/>
      <c r="AJ62" s="1092"/>
      <c r="AK62" s="282"/>
      <c r="AL62" s="266"/>
      <c r="AM62" s="266"/>
      <c r="AN62" s="345"/>
      <c r="AO62" s="448"/>
      <c r="AP62" s="974"/>
      <c r="AQ62" s="974"/>
      <c r="AR62" s="974"/>
      <c r="AS62" s="974"/>
      <c r="AT62" s="974"/>
      <c r="AU62" s="974"/>
      <c r="AV62" s="974"/>
      <c r="AW62" s="974"/>
      <c r="AX62" s="974"/>
      <c r="AY62" s="965"/>
      <c r="AZ62" s="965"/>
      <c r="BA62" s="455"/>
      <c r="BB62" s="266"/>
      <c r="BC62" s="266"/>
      <c r="BD62" s="266"/>
      <c r="BE62" s="413"/>
      <c r="BF62" s="997"/>
      <c r="BG62" s="475"/>
      <c r="BH62" s="255"/>
      <c r="BI62" s="470"/>
      <c r="BJ62" s="255"/>
      <c r="BK62" s="473"/>
      <c r="BL62" s="255"/>
      <c r="BM62" s="255"/>
      <c r="BN62" s="256"/>
      <c r="BO62" s="999"/>
      <c r="BP62" s="476"/>
      <c r="BQ62" s="255"/>
      <c r="BR62" s="347"/>
      <c r="BS62" s="266"/>
      <c r="BT62" s="274"/>
      <c r="BU62" s="830"/>
      <c r="BV62" s="832"/>
      <c r="BW62" s="274"/>
      <c r="BX62" s="274"/>
      <c r="BY62" s="274"/>
      <c r="BZ62" s="274"/>
      <c r="CA62" s="274"/>
      <c r="CB62" s="274"/>
      <c r="CC62" s="274"/>
      <c r="CD62" s="274"/>
      <c r="CE62" s="274"/>
      <c r="CF62" s="274"/>
      <c r="CG62" s="274"/>
      <c r="CH62" s="274"/>
      <c r="CI62" s="833"/>
      <c r="CJ62" s="274"/>
      <c r="CK62" s="266"/>
      <c r="CL62" s="266"/>
      <c r="CM62" s="442"/>
      <c r="CN62" s="1018"/>
      <c r="CO62" s="1018"/>
      <c r="CP62" s="1018"/>
      <c r="CQ62" s="1007"/>
      <c r="CR62" s="1007"/>
      <c r="CS62" s="1007"/>
      <c r="CT62" s="1007"/>
      <c r="CU62" s="1007"/>
      <c r="CV62" s="435"/>
      <c r="CW62" s="435"/>
      <c r="CX62" s="435"/>
      <c r="CY62" s="390"/>
      <c r="CZ62" s="390"/>
      <c r="DA62" s="390"/>
      <c r="DB62" s="443"/>
      <c r="DC62" s="266"/>
      <c r="DD62" s="266"/>
      <c r="DE62" s="266"/>
      <c r="DF62" s="266"/>
      <c r="DG62" s="266"/>
      <c r="DH62" s="266"/>
      <c r="DI62" s="266"/>
      <c r="DJ62" s="266"/>
      <c r="DK62" s="266"/>
      <c r="DL62" s="266"/>
      <c r="DM62" s="266"/>
      <c r="DN62" s="266"/>
      <c r="DO62" s="266"/>
    </row>
    <row r="63" spans="1:119" s="7" customFormat="1" ht="11.25" customHeight="1" thickTop="1">
      <c r="A63" s="495"/>
      <c r="B63" s="941"/>
      <c r="C63" s="942"/>
      <c r="D63" s="495"/>
      <c r="E63" s="545"/>
      <c r="F63" s="544"/>
      <c r="G63" s="936" t="str">
        <f>"Kosten der Eigenstromnutzung ("&amp;ROUND(ZRB!I31*100,2)&amp;"%)"</f>
        <v>Kosten der Eigenstromnutzung (0%)</v>
      </c>
      <c r="H63" s="937"/>
      <c r="I63" s="937"/>
      <c r="J63" s="937"/>
      <c r="K63" s="937"/>
      <c r="L63" s="937"/>
      <c r="M63" s="937"/>
      <c r="N63" s="937"/>
      <c r="O63" s="937"/>
      <c r="P63" s="934">
        <f>IF(AN11=1,"",ZRB!G86)</f>
      </c>
      <c r="Q63" s="934"/>
      <c r="R63" s="934"/>
      <c r="S63" s="453"/>
      <c r="T63" s="546"/>
      <c r="U63" s="275"/>
      <c r="V63" s="410"/>
      <c r="W63" s="1092"/>
      <c r="X63" s="1092"/>
      <c r="Y63" s="1092"/>
      <c r="Z63" s="1092"/>
      <c r="AA63" s="1092"/>
      <c r="AB63" s="1092"/>
      <c r="AC63" s="1092"/>
      <c r="AD63" s="1092"/>
      <c r="AE63" s="1092"/>
      <c r="AF63" s="1092"/>
      <c r="AG63" s="1092"/>
      <c r="AH63" s="1092"/>
      <c r="AI63" s="1092"/>
      <c r="AJ63" s="1092"/>
      <c r="AK63" s="282"/>
      <c r="AL63" s="266"/>
      <c r="AM63" s="266"/>
      <c r="AN63" s="345"/>
      <c r="AO63" s="448"/>
      <c r="AP63" s="969" t="s">
        <v>276</v>
      </c>
      <c r="AQ63" s="969"/>
      <c r="AR63" s="969"/>
      <c r="AS63" s="969"/>
      <c r="AT63" s="969"/>
      <c r="AU63" s="969"/>
      <c r="AV63" s="969"/>
      <c r="AW63" s="253"/>
      <c r="AX63" s="268" t="s">
        <v>58</v>
      </c>
      <c r="AY63" s="954"/>
      <c r="AZ63" s="954"/>
      <c r="BA63" s="347"/>
      <c r="BB63" s="266"/>
      <c r="BC63" s="266"/>
      <c r="BD63" s="266"/>
      <c r="BE63" s="413"/>
      <c r="BF63" s="997"/>
      <c r="BG63" s="959">
        <f>IF(OR(Kalkulation_Eigenstrom!$AN$49=1,Kalkulation_Eigenstrom!$AN$49=3,$BM$63=0),"",ZRB!V10)</f>
      </c>
      <c r="BH63" s="959"/>
      <c r="BI63" s="964">
        <f>IF(OR(Kalkulation_Eigenstrom!$AN$49=1,Kalkulation_Eigenstrom!$AN$49=3,$BM$63=0),"",ZRB!W10)</f>
      </c>
      <c r="BJ63" s="964"/>
      <c r="BK63" s="968">
        <f>IF(OR(Kalkulation_Eigenstrom!$AN$49=1,Kalkulation_Eigenstrom!$AN$49=3,$BM$63=0),"",ZRB!AE10)</f>
      </c>
      <c r="BL63" s="968"/>
      <c r="BM63" s="953">
        <f>IF(Kalkulation_Eigenstrom!AN49=3,"",ZRB!Z10)</f>
      </c>
      <c r="BN63" s="953"/>
      <c r="BO63" s="999"/>
      <c r="BP63" s="476"/>
      <c r="BQ63" s="255"/>
      <c r="BR63" s="347"/>
      <c r="BS63" s="266"/>
      <c r="BT63" s="274"/>
      <c r="BU63" s="845">
        <v>624</v>
      </c>
      <c r="BV63" s="841">
        <f>IF(OR(BU17=1,BU19=1),"","Schätzwertes berechnet und den Kosten des Eigenstroms hinzugerechnet.")</f>
      </c>
      <c r="BW63" s="274"/>
      <c r="BX63" s="274"/>
      <c r="BY63" s="274"/>
      <c r="BZ63" s="274"/>
      <c r="CA63" s="274"/>
      <c r="CB63" s="274"/>
      <c r="CC63" s="274"/>
      <c r="CD63" s="274"/>
      <c r="CE63" s="274"/>
      <c r="CF63" s="274"/>
      <c r="CG63" s="274"/>
      <c r="CH63" s="274"/>
      <c r="CI63" s="833"/>
      <c r="CJ63" s="274"/>
      <c r="CK63" s="266"/>
      <c r="CL63" s="266"/>
      <c r="CM63" s="442"/>
      <c r="CN63" s="1005" t="str">
        <f>"Strom-Bezugspreis in "&amp;ROUND(ZRB!G89,0)&amp;" Jahren"</f>
        <v>Strom-Bezugspreis in 20 Jahren</v>
      </c>
      <c r="CO63" s="1005"/>
      <c r="CP63" s="1005"/>
      <c r="CQ63" s="1005"/>
      <c r="CR63" s="1005"/>
      <c r="CS63" s="1005"/>
      <c r="CT63" s="1005"/>
      <c r="CU63" s="1005"/>
      <c r="CV63" s="435"/>
      <c r="CW63" s="1008">
        <f>ZRB!G100</f>
        <v>0.25370287959314164</v>
      </c>
      <c r="CX63" s="1008"/>
      <c r="CY63" s="390"/>
      <c r="CZ63" s="390"/>
      <c r="DA63" s="390"/>
      <c r="DB63" s="443"/>
      <c r="DC63" s="266"/>
      <c r="DD63" s="266"/>
      <c r="DE63" s="266"/>
      <c r="DF63" s="266"/>
      <c r="DG63" s="266"/>
      <c r="DH63" s="266"/>
      <c r="DI63" s="266"/>
      <c r="DJ63" s="266"/>
      <c r="DK63" s="266"/>
      <c r="DL63" s="266"/>
      <c r="DM63" s="266"/>
      <c r="DN63" s="266"/>
      <c r="DO63" s="266"/>
    </row>
    <row r="64" spans="1:119" s="7" customFormat="1" ht="2.25" customHeight="1">
      <c r="A64" s="495"/>
      <c r="B64" s="941"/>
      <c r="C64" s="942"/>
      <c r="D64" s="495"/>
      <c r="E64" s="545"/>
      <c r="F64" s="544"/>
      <c r="G64" s="936"/>
      <c r="H64" s="937"/>
      <c r="I64" s="937"/>
      <c r="J64" s="937"/>
      <c r="K64" s="937"/>
      <c r="L64" s="937"/>
      <c r="M64" s="937"/>
      <c r="N64" s="937"/>
      <c r="O64" s="937"/>
      <c r="P64" s="934"/>
      <c r="Q64" s="934"/>
      <c r="R64" s="934"/>
      <c r="S64" s="453"/>
      <c r="T64" s="546"/>
      <c r="U64" s="275"/>
      <c r="V64" s="410"/>
      <c r="W64" s="1092"/>
      <c r="X64" s="1092"/>
      <c r="Y64" s="1092"/>
      <c r="Z64" s="1092"/>
      <c r="AA64" s="1092"/>
      <c r="AB64" s="1092"/>
      <c r="AC64" s="1092"/>
      <c r="AD64" s="1092"/>
      <c r="AE64" s="1092"/>
      <c r="AF64" s="1092"/>
      <c r="AG64" s="1092"/>
      <c r="AH64" s="1092"/>
      <c r="AI64" s="1092"/>
      <c r="AJ64" s="1092"/>
      <c r="AK64" s="282"/>
      <c r="AL64" s="266"/>
      <c r="AM64" s="266"/>
      <c r="AN64" s="345"/>
      <c r="AO64" s="448"/>
      <c r="AP64" s="260"/>
      <c r="AQ64" s="434"/>
      <c r="AR64" s="426"/>
      <c r="AS64" s="426"/>
      <c r="AT64" s="426"/>
      <c r="AU64" s="426"/>
      <c r="AV64" s="426"/>
      <c r="AW64" s="253"/>
      <c r="AX64" s="256"/>
      <c r="AY64" s="272"/>
      <c r="AZ64" s="272"/>
      <c r="BA64" s="347"/>
      <c r="BB64" s="266"/>
      <c r="BC64" s="266"/>
      <c r="BD64" s="266"/>
      <c r="BE64" s="413"/>
      <c r="BF64" s="997"/>
      <c r="BG64" s="475"/>
      <c r="BH64" s="255"/>
      <c r="BI64" s="470"/>
      <c r="BJ64" s="255"/>
      <c r="BK64" s="473"/>
      <c r="BL64" s="255"/>
      <c r="BM64" s="255"/>
      <c r="BN64" s="256"/>
      <c r="BO64" s="999"/>
      <c r="BP64" s="476"/>
      <c r="BQ64" s="255"/>
      <c r="BR64" s="347"/>
      <c r="BS64" s="266"/>
      <c r="BT64" s="274"/>
      <c r="BU64" s="830"/>
      <c r="BV64" s="832"/>
      <c r="BW64" s="274"/>
      <c r="BX64" s="274"/>
      <c r="BY64" s="274"/>
      <c r="BZ64" s="274"/>
      <c r="CA64" s="274"/>
      <c r="CB64" s="274"/>
      <c r="CC64" s="274"/>
      <c r="CD64" s="274"/>
      <c r="CE64" s="274"/>
      <c r="CF64" s="274"/>
      <c r="CG64" s="274"/>
      <c r="CH64" s="274"/>
      <c r="CI64" s="833"/>
      <c r="CJ64" s="274"/>
      <c r="CK64" s="266"/>
      <c r="CL64" s="266"/>
      <c r="CM64" s="442"/>
      <c r="CN64" s="1006"/>
      <c r="CO64" s="1006"/>
      <c r="CP64" s="1006"/>
      <c r="CQ64" s="1006"/>
      <c r="CR64" s="1006"/>
      <c r="CS64" s="1006"/>
      <c r="CT64" s="1006"/>
      <c r="CU64" s="1006"/>
      <c r="CV64" s="456"/>
      <c r="CW64" s="456"/>
      <c r="CX64" s="456"/>
      <c r="CY64" s="390"/>
      <c r="CZ64" s="390"/>
      <c r="DA64" s="390"/>
      <c r="DB64" s="443"/>
      <c r="DC64" s="266"/>
      <c r="DD64" s="266"/>
      <c r="DE64" s="266"/>
      <c r="DF64" s="266"/>
      <c r="DG64" s="266"/>
      <c r="DH64" s="266"/>
      <c r="DI64" s="266"/>
      <c r="DJ64" s="266"/>
      <c r="DK64" s="266"/>
      <c r="DL64" s="266"/>
      <c r="DM64" s="266"/>
      <c r="DN64" s="266"/>
      <c r="DO64" s="266"/>
    </row>
    <row r="65" spans="1:119" s="7" customFormat="1" ht="11.25" customHeight="1">
      <c r="A65" s="495"/>
      <c r="B65" s="941"/>
      <c r="C65" s="942"/>
      <c r="D65" s="495"/>
      <c r="E65" s="545"/>
      <c r="F65" s="544"/>
      <c r="G65" s="936"/>
      <c r="H65" s="937"/>
      <c r="I65" s="937"/>
      <c r="J65" s="937"/>
      <c r="K65" s="937"/>
      <c r="L65" s="937"/>
      <c r="M65" s="937"/>
      <c r="N65" s="937"/>
      <c r="O65" s="937"/>
      <c r="P65" s="934"/>
      <c r="Q65" s="934"/>
      <c r="R65" s="934"/>
      <c r="S65" s="574"/>
      <c r="T65" s="546"/>
      <c r="U65" s="275"/>
      <c r="V65" s="410"/>
      <c r="W65" s="1092"/>
      <c r="X65" s="1092"/>
      <c r="Y65" s="1092"/>
      <c r="Z65" s="1092"/>
      <c r="AA65" s="1092"/>
      <c r="AB65" s="1092"/>
      <c r="AC65" s="1092"/>
      <c r="AD65" s="1092"/>
      <c r="AE65" s="1092"/>
      <c r="AF65" s="1092"/>
      <c r="AG65" s="1092"/>
      <c r="AH65" s="1092"/>
      <c r="AI65" s="1092"/>
      <c r="AJ65" s="1092"/>
      <c r="AK65" s="282"/>
      <c r="AL65" s="266"/>
      <c r="AM65" s="266"/>
      <c r="AN65" s="345"/>
      <c r="AO65" s="448"/>
      <c r="AP65" s="969"/>
      <c r="AQ65" s="969"/>
      <c r="AR65" s="969"/>
      <c r="AS65" s="969"/>
      <c r="AT65" s="969"/>
      <c r="AU65" s="969"/>
      <c r="AV65" s="969"/>
      <c r="AW65" s="253"/>
      <c r="AX65" s="268" t="s">
        <v>58</v>
      </c>
      <c r="AY65" s="954"/>
      <c r="AZ65" s="954"/>
      <c r="BA65" s="347"/>
      <c r="BB65" s="266"/>
      <c r="BC65" s="266"/>
      <c r="BD65" s="266"/>
      <c r="BE65" s="413"/>
      <c r="BF65" s="998"/>
      <c r="BG65" s="1010">
        <f>IF(OR(Kalkulation_Eigenstrom!$AN$49=1,Kalkulation_Eigenstrom!$AN$49=3,$BM$65=0),"",ZRB!V11)</f>
      </c>
      <c r="BH65" s="959"/>
      <c r="BI65" s="964">
        <f>IF(OR(Kalkulation_Eigenstrom!$AN$49=1,Kalkulation_Eigenstrom!$AN$49=3,$BM$65=0),"",ZRB!W11)</f>
      </c>
      <c r="BJ65" s="964"/>
      <c r="BK65" s="968">
        <f>IF(OR(Kalkulation_Eigenstrom!$AN$49=1,Kalkulation_Eigenstrom!$AN$49=3,$BM$65=0),"",ZRB!AE11)</f>
      </c>
      <c r="BL65" s="968"/>
      <c r="BM65" s="953">
        <f>IF(Kalkulation_Eigenstrom!AN49=3,"",ZRB!Z11)</f>
      </c>
      <c r="BN65" s="953"/>
      <c r="BO65" s="999"/>
      <c r="BP65" s="476"/>
      <c r="BQ65" s="255"/>
      <c r="BR65" s="347"/>
      <c r="BS65" s="266"/>
      <c r="BT65" s="274"/>
      <c r="BU65" s="830"/>
      <c r="BV65" s="862"/>
      <c r="BW65" s="854"/>
      <c r="BX65" s="854"/>
      <c r="BY65" s="854"/>
      <c r="BZ65" s="854"/>
      <c r="CA65" s="854"/>
      <c r="CB65" s="854"/>
      <c r="CC65" s="854"/>
      <c r="CD65" s="854"/>
      <c r="CE65" s="854"/>
      <c r="CF65" s="854"/>
      <c r="CG65" s="854"/>
      <c r="CH65" s="854"/>
      <c r="CI65" s="855"/>
      <c r="CJ65" s="274"/>
      <c r="CK65" s="266"/>
      <c r="CL65" s="266"/>
      <c r="CM65" s="442"/>
      <c r="CN65" s="1003" t="s">
        <v>323</v>
      </c>
      <c r="CO65" s="1003"/>
      <c r="CP65" s="1003"/>
      <c r="CQ65" s="1003"/>
      <c r="CR65" s="1003"/>
      <c r="CS65" s="1003"/>
      <c r="CT65" s="1003"/>
      <c r="CU65" s="1003"/>
      <c r="CV65" s="1011">
        <f>ROUND(ZRB!G101,4)</f>
        <v>0.2319</v>
      </c>
      <c r="CW65" s="1011"/>
      <c r="CX65" s="1011"/>
      <c r="CY65" s="390"/>
      <c r="CZ65" s="390"/>
      <c r="DA65" s="390"/>
      <c r="DB65" s="443"/>
      <c r="DC65" s="266"/>
      <c r="DD65" s="266"/>
      <c r="DE65" s="266"/>
      <c r="DF65" s="266"/>
      <c r="DG65" s="266"/>
      <c r="DH65" s="266"/>
      <c r="DI65" s="266"/>
      <c r="DJ65" s="266"/>
      <c r="DK65" s="266"/>
      <c r="DL65" s="266"/>
      <c r="DM65" s="266"/>
      <c r="DN65" s="266"/>
      <c r="DO65" s="266"/>
    </row>
    <row r="66" spans="1:119" s="7" customFormat="1" ht="2.25" customHeight="1">
      <c r="A66" s="495"/>
      <c r="B66" s="941"/>
      <c r="C66" s="942"/>
      <c r="D66" s="495"/>
      <c r="E66" s="545"/>
      <c r="F66" s="544"/>
      <c r="G66" s="936"/>
      <c r="H66" s="937"/>
      <c r="I66" s="937"/>
      <c r="J66" s="937"/>
      <c r="K66" s="937"/>
      <c r="L66" s="937"/>
      <c r="M66" s="937"/>
      <c r="N66" s="937"/>
      <c r="O66" s="937"/>
      <c r="P66" s="575"/>
      <c r="Q66" s="575"/>
      <c r="R66" s="575"/>
      <c r="S66" s="574"/>
      <c r="T66" s="546"/>
      <c r="U66" s="275"/>
      <c r="V66" s="410"/>
      <c r="W66" s="1092"/>
      <c r="X66" s="1092"/>
      <c r="Y66" s="1092"/>
      <c r="Z66" s="1092"/>
      <c r="AA66" s="1092"/>
      <c r="AB66" s="1092"/>
      <c r="AC66" s="1092"/>
      <c r="AD66" s="1092"/>
      <c r="AE66" s="1092"/>
      <c r="AF66" s="1092"/>
      <c r="AG66" s="1092"/>
      <c r="AH66" s="1092"/>
      <c r="AI66" s="1092"/>
      <c r="AJ66" s="1092"/>
      <c r="AK66" s="282"/>
      <c r="AL66" s="266"/>
      <c r="AM66" s="266"/>
      <c r="AN66" s="345"/>
      <c r="AO66" s="448"/>
      <c r="AP66" s="260"/>
      <c r="AQ66" s="434"/>
      <c r="AR66" s="426"/>
      <c r="AS66" s="426"/>
      <c r="AT66" s="426"/>
      <c r="AU66" s="426"/>
      <c r="AV66" s="426"/>
      <c r="AW66" s="253"/>
      <c r="AX66" s="256"/>
      <c r="AY66" s="272"/>
      <c r="AZ66" s="272"/>
      <c r="BA66" s="347"/>
      <c r="BB66" s="266"/>
      <c r="BC66" s="266"/>
      <c r="BD66" s="266"/>
      <c r="BE66" s="413"/>
      <c r="BF66" s="255"/>
      <c r="BG66" s="475"/>
      <c r="BH66" s="255"/>
      <c r="BI66" s="255"/>
      <c r="BJ66" s="255"/>
      <c r="BK66" s="473"/>
      <c r="BL66" s="255"/>
      <c r="BM66" s="255"/>
      <c r="BN66" s="255"/>
      <c r="BO66" s="999"/>
      <c r="BP66" s="255"/>
      <c r="BQ66" s="255"/>
      <c r="BR66" s="347"/>
      <c r="BS66" s="266"/>
      <c r="BT66" s="274"/>
      <c r="BU66" s="830"/>
      <c r="BV66" s="856"/>
      <c r="BW66" s="854"/>
      <c r="BX66" s="854"/>
      <c r="BY66" s="854"/>
      <c r="BZ66" s="854"/>
      <c r="CA66" s="854"/>
      <c r="CB66" s="854"/>
      <c r="CC66" s="854"/>
      <c r="CD66" s="854"/>
      <c r="CE66" s="854"/>
      <c r="CF66" s="854"/>
      <c r="CG66" s="854"/>
      <c r="CH66" s="854"/>
      <c r="CI66" s="855"/>
      <c r="CJ66" s="274"/>
      <c r="CK66" s="266"/>
      <c r="CL66" s="266"/>
      <c r="CM66" s="442"/>
      <c r="CN66" s="1004"/>
      <c r="CO66" s="1004"/>
      <c r="CP66" s="1004"/>
      <c r="CQ66" s="1004"/>
      <c r="CR66" s="1004"/>
      <c r="CS66" s="1004"/>
      <c r="CT66" s="1004"/>
      <c r="CU66" s="1004"/>
      <c r="CV66" s="1012"/>
      <c r="CW66" s="1012"/>
      <c r="CX66" s="1012"/>
      <c r="CY66" s="390"/>
      <c r="CZ66" s="390"/>
      <c r="DA66" s="390"/>
      <c r="DB66" s="443"/>
      <c r="DC66" s="266"/>
      <c r="DD66" s="266"/>
      <c r="DE66" s="266"/>
      <c r="DF66" s="266"/>
      <c r="DG66" s="266"/>
      <c r="DH66" s="266"/>
      <c r="DI66" s="266"/>
      <c r="DJ66" s="266"/>
      <c r="DK66" s="266"/>
      <c r="DL66" s="266"/>
      <c r="DM66" s="266"/>
      <c r="DN66" s="266"/>
      <c r="DO66" s="266"/>
    </row>
    <row r="67" spans="1:119" s="7" customFormat="1" ht="11.25" customHeight="1">
      <c r="A67" s="495"/>
      <c r="B67" s="941"/>
      <c r="C67" s="942"/>
      <c r="D67" s="495"/>
      <c r="E67" s="545"/>
      <c r="F67" s="544"/>
      <c r="G67" s="442"/>
      <c r="H67" s="1101" t="str">
        <f>"Jahreskosten der Anlage ges. (Laufzeit "&amp;ROUND(AN33,0)&amp;" J.)"</f>
        <v>Jahreskosten der Anlage ges. (Laufzeit 20 J.)</v>
      </c>
      <c r="I67" s="1101"/>
      <c r="J67" s="1101"/>
      <c r="K67" s="1101"/>
      <c r="L67" s="1101"/>
      <c r="M67" s="1101"/>
      <c r="N67" s="1101"/>
      <c r="O67" s="1101"/>
      <c r="P67" s="1087">
        <f>IF(AN11=1,"",ZRB!G79)</f>
      </c>
      <c r="Q67" s="1087"/>
      <c r="R67" s="1087"/>
      <c r="S67" s="443"/>
      <c r="T67" s="546"/>
      <c r="U67" s="275"/>
      <c r="V67" s="410"/>
      <c r="W67" s="1092"/>
      <c r="X67" s="1092"/>
      <c r="Y67" s="1092"/>
      <c r="Z67" s="1092"/>
      <c r="AA67" s="1092"/>
      <c r="AB67" s="1092"/>
      <c r="AC67" s="1092"/>
      <c r="AD67" s="1092"/>
      <c r="AE67" s="1092"/>
      <c r="AF67" s="1092"/>
      <c r="AG67" s="1092"/>
      <c r="AH67" s="1092"/>
      <c r="AI67" s="1092"/>
      <c r="AJ67" s="1092"/>
      <c r="AK67" s="282"/>
      <c r="AL67" s="266"/>
      <c r="AM67" s="266"/>
      <c r="AN67" s="345"/>
      <c r="AO67" s="448"/>
      <c r="AP67" s="969"/>
      <c r="AQ67" s="969"/>
      <c r="AR67" s="969"/>
      <c r="AS67" s="969"/>
      <c r="AT67" s="969"/>
      <c r="AU67" s="969"/>
      <c r="AV67" s="969"/>
      <c r="AW67" s="253"/>
      <c r="AX67" s="268" t="s">
        <v>58</v>
      </c>
      <c r="AY67" s="954"/>
      <c r="AZ67" s="954"/>
      <c r="BA67" s="347"/>
      <c r="BB67" s="266"/>
      <c r="BC67" s="266"/>
      <c r="BD67" s="266"/>
      <c r="BE67" s="413"/>
      <c r="BF67" s="996">
        <f>IF(OR(Kalkulation_Eigenstrom!$AN$49=3,Kalkulation_Eigenstrom!$BM$67=0),"",""&amp;ROUND(ZRB!Z7*100,0)&amp;"-"&amp;ROUND(ZRB!I31*100,0)&amp;"%")</f>
      </c>
      <c r="BG67" s="959">
        <f>IF(OR(Kalkulation_Eigenstrom!$AN$49=3,$BM$67=0),"",ZRB!V9)</f>
      </c>
      <c r="BH67" s="959"/>
      <c r="BI67" s="964">
        <f>IF(OR(Kalkulation_Eigenstrom!$AN$49=3,$BM$67=0),"",ZRB!W9)</f>
      </c>
      <c r="BJ67" s="964"/>
      <c r="BK67" s="968">
        <f>IF(OR(Kalkulation_Eigenstrom!$AN$49=3,$BM$67=0),"",ZRB!AF9)</f>
      </c>
      <c r="BL67" s="968"/>
      <c r="BM67" s="953">
        <f>IF(Kalkulation_Eigenstrom!AN49=3,"",ZRB!AA9)</f>
      </c>
      <c r="BN67" s="953"/>
      <c r="BO67" s="999"/>
      <c r="BP67" s="979">
        <f>ZRB!G84</f>
        <v>0</v>
      </c>
      <c r="BQ67" s="979"/>
      <c r="BR67" s="347"/>
      <c r="BS67" s="266"/>
      <c r="BT67" s="274"/>
      <c r="BU67" s="830"/>
      <c r="BV67" s="857" t="str">
        <f>IF(BU19=1,"Anlage ist von der EEG-Umlagepflicht befreit !",IF(BU17=2,"Schätzwert:   Ø EEG-Umlage in "&amp;ROUND(E33,0)&amp;" Jahren Laufzeit:","Keine EEG-Umlagepflicht für Bestandsanlagen !"))</f>
        <v>Anlage ist von der EEG-Umlagepflicht befreit !</v>
      </c>
      <c r="BW67" s="858"/>
      <c r="BX67" s="854"/>
      <c r="BY67" s="854"/>
      <c r="BZ67" s="854"/>
      <c r="CA67" s="854"/>
      <c r="CB67" s="854"/>
      <c r="CC67" s="854"/>
      <c r="CD67" s="711"/>
      <c r="CE67" s="938">
        <f>IF(OR(BU17=1,BU19=1),0,BU63/100)</f>
        <v>0</v>
      </c>
      <c r="CF67" s="938"/>
      <c r="CG67" s="938"/>
      <c r="CH67" s="938"/>
      <c r="CI67" s="855"/>
      <c r="CJ67" s="274"/>
      <c r="CK67" s="266"/>
      <c r="CL67" s="266"/>
      <c r="CM67" s="442"/>
      <c r="CN67" s="1004"/>
      <c r="CO67" s="1004"/>
      <c r="CP67" s="1004"/>
      <c r="CQ67" s="1004"/>
      <c r="CR67" s="1004"/>
      <c r="CS67" s="1004"/>
      <c r="CT67" s="1004"/>
      <c r="CU67" s="1004"/>
      <c r="CV67" s="1012"/>
      <c r="CW67" s="1012"/>
      <c r="CX67" s="1012"/>
      <c r="CY67" s="390"/>
      <c r="CZ67" s="390"/>
      <c r="DA67" s="390"/>
      <c r="DB67" s="443"/>
      <c r="DC67" s="266"/>
      <c r="DD67" s="266"/>
      <c r="DE67" s="266"/>
      <c r="DF67" s="266"/>
      <c r="DG67" s="266"/>
      <c r="DH67" s="266"/>
      <c r="DI67" s="266"/>
      <c r="DJ67" s="266"/>
      <c r="DK67" s="266"/>
      <c r="DL67" s="266"/>
      <c r="DM67" s="266"/>
      <c r="DN67" s="266"/>
      <c r="DO67" s="266"/>
    </row>
    <row r="68" spans="1:119" s="7" customFormat="1" ht="2.25" customHeight="1">
      <c r="A68" s="495"/>
      <c r="B68" s="941"/>
      <c r="C68" s="942"/>
      <c r="D68" s="495"/>
      <c r="E68" s="545"/>
      <c r="F68" s="544"/>
      <c r="G68" s="442"/>
      <c r="H68" s="1101"/>
      <c r="I68" s="1101"/>
      <c r="J68" s="1101"/>
      <c r="K68" s="1101"/>
      <c r="L68" s="1101"/>
      <c r="M68" s="1101"/>
      <c r="N68" s="1101"/>
      <c r="O68" s="1101"/>
      <c r="P68" s="1087"/>
      <c r="Q68" s="1087"/>
      <c r="R68" s="1087"/>
      <c r="S68" s="443"/>
      <c r="T68" s="546"/>
      <c r="U68" s="275"/>
      <c r="V68" s="413"/>
      <c r="W68" s="1092"/>
      <c r="X68" s="1092"/>
      <c r="Y68" s="1092"/>
      <c r="Z68" s="1092"/>
      <c r="AA68" s="1092"/>
      <c r="AB68" s="1092"/>
      <c r="AC68" s="1092"/>
      <c r="AD68" s="1092"/>
      <c r="AE68" s="1092"/>
      <c r="AF68" s="1092"/>
      <c r="AG68" s="1092"/>
      <c r="AH68" s="1092"/>
      <c r="AI68" s="1092"/>
      <c r="AJ68" s="1092"/>
      <c r="AK68" s="347"/>
      <c r="AL68" s="266"/>
      <c r="AM68" s="266"/>
      <c r="AN68" s="345"/>
      <c r="AO68" s="448"/>
      <c r="AP68" s="974" t="s">
        <v>318</v>
      </c>
      <c r="AQ68" s="974"/>
      <c r="AR68" s="974"/>
      <c r="AS68" s="974"/>
      <c r="AT68" s="974"/>
      <c r="AU68" s="974"/>
      <c r="AV68" s="974"/>
      <c r="AW68" s="974"/>
      <c r="AX68" s="974"/>
      <c r="AY68" s="965">
        <f>ZRB!G75</f>
        <v>0</v>
      </c>
      <c r="AZ68" s="965"/>
      <c r="BA68" s="455"/>
      <c r="BB68" s="266"/>
      <c r="BC68" s="266"/>
      <c r="BD68" s="266"/>
      <c r="BE68" s="413"/>
      <c r="BF68" s="997"/>
      <c r="BG68" s="475"/>
      <c r="BH68" s="255"/>
      <c r="BI68" s="470"/>
      <c r="BJ68" s="255"/>
      <c r="BK68" s="473"/>
      <c r="BL68" s="255"/>
      <c r="BM68" s="255"/>
      <c r="BN68" s="256"/>
      <c r="BO68" s="999"/>
      <c r="BP68" s="476"/>
      <c r="BQ68" s="255"/>
      <c r="BR68" s="347"/>
      <c r="BS68" s="266"/>
      <c r="BT68" s="274"/>
      <c r="BU68" s="830"/>
      <c r="BV68" s="856"/>
      <c r="BW68" s="854"/>
      <c r="BX68" s="854"/>
      <c r="BY68" s="854"/>
      <c r="BZ68" s="854"/>
      <c r="CA68" s="854"/>
      <c r="CB68" s="854"/>
      <c r="CC68" s="854"/>
      <c r="CD68" s="854"/>
      <c r="CE68" s="854"/>
      <c r="CF68" s="854"/>
      <c r="CG68" s="854"/>
      <c r="CH68" s="854"/>
      <c r="CI68" s="855"/>
      <c r="CJ68" s="274"/>
      <c r="CK68" s="266"/>
      <c r="CL68" s="266"/>
      <c r="CM68" s="444"/>
      <c r="CN68" s="391"/>
      <c r="CO68" s="391"/>
      <c r="CP68" s="391"/>
      <c r="CQ68" s="391"/>
      <c r="CR68" s="391"/>
      <c r="CS68" s="391"/>
      <c r="CT68" s="391"/>
      <c r="CU68" s="391"/>
      <c r="CV68" s="391"/>
      <c r="CW68" s="391"/>
      <c r="CX68" s="391"/>
      <c r="CY68" s="391"/>
      <c r="CZ68" s="391"/>
      <c r="DA68" s="391"/>
      <c r="DB68" s="445"/>
      <c r="DC68" s="266"/>
      <c r="DD68" s="266"/>
      <c r="DE68" s="266"/>
      <c r="DF68" s="266"/>
      <c r="DG68" s="266"/>
      <c r="DH68" s="266"/>
      <c r="DI68" s="266"/>
      <c r="DJ68" s="266"/>
      <c r="DK68" s="266"/>
      <c r="DL68" s="266"/>
      <c r="DM68" s="266"/>
      <c r="DN68" s="266"/>
      <c r="DO68" s="266"/>
    </row>
    <row r="69" spans="1:119" s="7" customFormat="1" ht="11.25" customHeight="1" thickBot="1">
      <c r="A69" s="495"/>
      <c r="B69" s="943"/>
      <c r="C69" s="944"/>
      <c r="D69" s="495"/>
      <c r="E69" s="545"/>
      <c r="F69" s="544"/>
      <c r="G69" s="442"/>
      <c r="H69" s="708" t="s">
        <v>285</v>
      </c>
      <c r="I69" s="708"/>
      <c r="J69" s="708"/>
      <c r="K69" s="1106" t="str">
        <f>"Einspeisevergütung (0-"&amp;AN31&amp;" J.)"</f>
        <v>Einspeisevergütung (0-20 J.)</v>
      </c>
      <c r="L69" s="1106"/>
      <c r="M69" s="1106"/>
      <c r="N69" s="1106"/>
      <c r="O69" s="1106"/>
      <c r="P69" s="1087">
        <f>IF(AN11=1,"",ZRB!G80*-1)</f>
      </c>
      <c r="Q69" s="1087"/>
      <c r="R69" s="1087"/>
      <c r="S69" s="443"/>
      <c r="T69" s="546"/>
      <c r="U69" s="275"/>
      <c r="V69" s="413"/>
      <c r="W69" s="1092"/>
      <c r="X69" s="1092"/>
      <c r="Y69" s="1092"/>
      <c r="Z69" s="1092"/>
      <c r="AA69" s="1092"/>
      <c r="AB69" s="1092"/>
      <c r="AC69" s="1092"/>
      <c r="AD69" s="1092"/>
      <c r="AE69" s="1092"/>
      <c r="AF69" s="1092"/>
      <c r="AG69" s="1092"/>
      <c r="AH69" s="1092"/>
      <c r="AI69" s="1092"/>
      <c r="AJ69" s="1092"/>
      <c r="AK69" s="347"/>
      <c r="AL69" s="266"/>
      <c r="AM69" s="266"/>
      <c r="AN69" s="345"/>
      <c r="AO69" s="447"/>
      <c r="AP69" s="974"/>
      <c r="AQ69" s="974"/>
      <c r="AR69" s="974"/>
      <c r="AS69" s="974"/>
      <c r="AT69" s="974"/>
      <c r="AU69" s="974"/>
      <c r="AV69" s="974"/>
      <c r="AW69" s="974"/>
      <c r="AX69" s="974"/>
      <c r="AY69" s="965"/>
      <c r="AZ69" s="965"/>
      <c r="BA69" s="455"/>
      <c r="BB69" s="266"/>
      <c r="BC69" s="266"/>
      <c r="BD69" s="266"/>
      <c r="BE69" s="413"/>
      <c r="BF69" s="997"/>
      <c r="BG69" s="959">
        <f>IF(OR(Kalkulation_Eigenstrom!$AN$49=1,Kalkulation_Eigenstrom!$AN$49=3,$BM$69=0),"",ZRB!V10)</f>
      </c>
      <c r="BH69" s="959"/>
      <c r="BI69" s="964">
        <f>IF(OR(Kalkulation_Eigenstrom!$AN$49=1,Kalkulation_Eigenstrom!$AN$49=3,$BM$69=0),"",ZRB!W10)</f>
      </c>
      <c r="BJ69" s="964"/>
      <c r="BK69" s="968">
        <f>IF(OR(Kalkulation_Eigenstrom!$AN$49=1,Kalkulation_Eigenstrom!$AN$49=3,$BM$69=0),"",ZRB!AF10)</f>
      </c>
      <c r="BL69" s="968"/>
      <c r="BM69" s="953">
        <f>IF(Kalkulation_Eigenstrom!AN49=3,"",ZRB!AA10)</f>
      </c>
      <c r="BN69" s="953"/>
      <c r="BO69" s="999"/>
      <c r="BP69" s="476"/>
      <c r="BQ69" s="255"/>
      <c r="BR69" s="347"/>
      <c r="BS69" s="266"/>
      <c r="BT69" s="274"/>
      <c r="BU69" s="830"/>
      <c r="BV69" s="862">
        <f>IF(BU19=1,"",IF(BU17=2,"(bitte selbst festlegen !)",""))</f>
      </c>
      <c r="BW69" s="860"/>
      <c r="BX69" s="860"/>
      <c r="BY69" s="860"/>
      <c r="BZ69" s="860"/>
      <c r="CA69" s="860"/>
      <c r="CB69" s="860"/>
      <c r="CC69" s="860"/>
      <c r="CD69" s="860"/>
      <c r="CE69" s="860"/>
      <c r="CF69" s="860"/>
      <c r="CG69" s="860"/>
      <c r="CH69" s="860"/>
      <c r="CI69" s="861"/>
      <c r="CJ69" s="274"/>
      <c r="CK69" s="266"/>
      <c r="CL69" s="266"/>
      <c r="CM69" s="588"/>
      <c r="CN69" s="589"/>
      <c r="CO69" s="589"/>
      <c r="CP69" s="589"/>
      <c r="CQ69" s="589"/>
      <c r="CR69" s="589"/>
      <c r="CS69" s="589"/>
      <c r="CT69" s="589"/>
      <c r="CU69" s="589"/>
      <c r="CV69" s="589"/>
      <c r="CW69" s="589"/>
      <c r="CX69" s="589"/>
      <c r="CY69" s="589"/>
      <c r="CZ69" s="589"/>
      <c r="DA69" s="589"/>
      <c r="DB69" s="590"/>
      <c r="DC69" s="266"/>
      <c r="DD69" s="266"/>
      <c r="DE69" s="266"/>
      <c r="DF69" s="266"/>
      <c r="DG69" s="266"/>
      <c r="DH69" s="266"/>
      <c r="DI69" s="266"/>
      <c r="DJ69" s="266"/>
      <c r="DK69" s="266"/>
      <c r="DL69" s="266"/>
      <c r="DM69" s="266"/>
      <c r="DN69" s="266"/>
      <c r="DO69" s="266"/>
    </row>
    <row r="70" spans="1:119" s="7" customFormat="1" ht="2.25" customHeight="1" thickTop="1">
      <c r="A70" s="495"/>
      <c r="B70" s="497"/>
      <c r="C70" s="496"/>
      <c r="D70" s="495"/>
      <c r="E70" s="545"/>
      <c r="F70" s="544"/>
      <c r="G70" s="442"/>
      <c r="H70" s="708"/>
      <c r="I70" s="708"/>
      <c r="J70" s="708"/>
      <c r="K70" s="1106"/>
      <c r="L70" s="1106"/>
      <c r="M70" s="1106"/>
      <c r="N70" s="1106"/>
      <c r="O70" s="1106"/>
      <c r="P70" s="1087"/>
      <c r="Q70" s="1087"/>
      <c r="R70" s="1087"/>
      <c r="S70" s="443"/>
      <c r="T70" s="546"/>
      <c r="U70" s="275"/>
      <c r="V70" s="413"/>
      <c r="W70" s="1092"/>
      <c r="X70" s="1092"/>
      <c r="Y70" s="1092"/>
      <c r="Z70" s="1092"/>
      <c r="AA70" s="1092"/>
      <c r="AB70" s="1092"/>
      <c r="AC70" s="1092"/>
      <c r="AD70" s="1092"/>
      <c r="AE70" s="1092"/>
      <c r="AF70" s="1092"/>
      <c r="AG70" s="1092"/>
      <c r="AH70" s="1092"/>
      <c r="AI70" s="1092"/>
      <c r="AJ70" s="1092"/>
      <c r="AK70" s="347"/>
      <c r="AL70" s="266"/>
      <c r="AM70" s="266"/>
      <c r="AN70" s="345"/>
      <c r="AO70" s="448"/>
      <c r="AP70" s="974"/>
      <c r="AQ70" s="974"/>
      <c r="AR70" s="974"/>
      <c r="AS70" s="974"/>
      <c r="AT70" s="974"/>
      <c r="AU70" s="974"/>
      <c r="AV70" s="974"/>
      <c r="AW70" s="974"/>
      <c r="AX70" s="974"/>
      <c r="AY70" s="965"/>
      <c r="AZ70" s="965"/>
      <c r="BA70" s="455"/>
      <c r="BB70" s="266"/>
      <c r="BC70" s="266"/>
      <c r="BD70" s="266"/>
      <c r="BE70" s="413"/>
      <c r="BF70" s="997"/>
      <c r="BG70" s="475"/>
      <c r="BH70" s="255"/>
      <c r="BI70" s="470"/>
      <c r="BJ70" s="255"/>
      <c r="BK70" s="473"/>
      <c r="BL70" s="255"/>
      <c r="BM70" s="255"/>
      <c r="BN70" s="256"/>
      <c r="BO70" s="999"/>
      <c r="BP70" s="476"/>
      <c r="BQ70" s="255"/>
      <c r="BR70" s="347"/>
      <c r="BS70" s="266"/>
      <c r="BT70" s="274"/>
      <c r="BU70" s="830"/>
      <c r="BV70" s="859"/>
      <c r="BW70" s="860"/>
      <c r="BX70" s="860"/>
      <c r="BY70" s="860"/>
      <c r="BZ70" s="860"/>
      <c r="CA70" s="860"/>
      <c r="CB70" s="860"/>
      <c r="CC70" s="860"/>
      <c r="CD70" s="860"/>
      <c r="CE70" s="860"/>
      <c r="CF70" s="860"/>
      <c r="CG70" s="860"/>
      <c r="CH70" s="860"/>
      <c r="CI70" s="861"/>
      <c r="CJ70" s="274"/>
      <c r="CK70" s="266"/>
      <c r="CL70" s="266"/>
      <c r="CM70" s="592"/>
      <c r="CN70" s="591"/>
      <c r="CO70" s="591"/>
      <c r="CP70" s="591"/>
      <c r="CQ70" s="591"/>
      <c r="CR70" s="591"/>
      <c r="CS70" s="591"/>
      <c r="CT70" s="591"/>
      <c r="CU70" s="591"/>
      <c r="CV70" s="591"/>
      <c r="CW70" s="591"/>
      <c r="CX70" s="591"/>
      <c r="CY70" s="591"/>
      <c r="CZ70" s="591"/>
      <c r="DA70" s="591"/>
      <c r="DB70" s="593"/>
      <c r="DC70" s="266"/>
      <c r="DD70" s="266"/>
      <c r="DE70" s="266"/>
      <c r="DF70" s="266"/>
      <c r="DG70" s="266"/>
      <c r="DH70" s="266"/>
      <c r="DI70" s="266"/>
      <c r="DJ70" s="266"/>
      <c r="DK70" s="266"/>
      <c r="DL70" s="266"/>
      <c r="DM70" s="266"/>
      <c r="DN70" s="266"/>
      <c r="DO70" s="266"/>
    </row>
    <row r="71" spans="1:119" s="7" customFormat="1" ht="11.25" customHeight="1">
      <c r="A71" s="495"/>
      <c r="B71" s="497"/>
      <c r="C71" s="495"/>
      <c r="D71" s="495"/>
      <c r="E71" s="545"/>
      <c r="F71" s="544"/>
      <c r="G71" s="442"/>
      <c r="H71" s="390"/>
      <c r="I71" s="390"/>
      <c r="J71" s="390"/>
      <c r="K71" s="1106">
        <f>IF(AN35=1,"","Eigenvermarktung ("&amp;AN31&amp;"-"&amp;AN33&amp;"J.)")</f>
      </c>
      <c r="L71" s="1106"/>
      <c r="M71" s="1106"/>
      <c r="N71" s="1106"/>
      <c r="O71" s="1106"/>
      <c r="P71" s="1087">
        <f>IF(AN11=1,"",IF(AN35=1,"",ZRB!G81*-1))</f>
      </c>
      <c r="Q71" s="1087"/>
      <c r="R71" s="1087"/>
      <c r="S71" s="443"/>
      <c r="T71" s="546"/>
      <c r="U71" s="275"/>
      <c r="V71" s="413"/>
      <c r="W71" s="1092"/>
      <c r="X71" s="1092"/>
      <c r="Y71" s="1092"/>
      <c r="Z71" s="1092"/>
      <c r="AA71" s="1092"/>
      <c r="AB71" s="1092"/>
      <c r="AC71" s="1092"/>
      <c r="AD71" s="1092"/>
      <c r="AE71" s="1092"/>
      <c r="AF71" s="1092"/>
      <c r="AG71" s="1092"/>
      <c r="AH71" s="1092"/>
      <c r="AI71" s="1092"/>
      <c r="AJ71" s="1092"/>
      <c r="AK71" s="347"/>
      <c r="AL71" s="266"/>
      <c r="AM71" s="266"/>
      <c r="AN71" s="345"/>
      <c r="AO71" s="448"/>
      <c r="AP71" s="251" t="s">
        <v>338</v>
      </c>
      <c r="AQ71" s="257"/>
      <c r="AR71" s="258"/>
      <c r="AS71" s="253"/>
      <c r="AT71" s="253"/>
      <c r="AU71" s="424"/>
      <c r="AV71" s="253"/>
      <c r="AW71" s="490" t="str">
        <f>"(Info: "&amp;ZRB!I72*100&amp;"% = "&amp;ZRB!I73&amp;" Euro)"</f>
        <v>(Info: 0,5% = 0 Euro)</v>
      </c>
      <c r="AX71" s="268" t="s">
        <v>337</v>
      </c>
      <c r="AY71" s="954"/>
      <c r="AZ71" s="954"/>
      <c r="BA71" s="347"/>
      <c r="BB71" s="266"/>
      <c r="BC71" s="266"/>
      <c r="BD71" s="266"/>
      <c r="BE71" s="413"/>
      <c r="BF71" s="998"/>
      <c r="BG71" s="1010">
        <f>IF(OR(Kalkulation_Eigenstrom!$AN$49=1,Kalkulation_Eigenstrom!$AN$49=3,$BM$71=0),"",ZRB!V11)</f>
      </c>
      <c r="BH71" s="959"/>
      <c r="BI71" s="964">
        <f>IF(OR(Kalkulation_Eigenstrom!$AN$49=1,Kalkulation_Eigenstrom!$AN$49=3,$BM$71=0),"",ZRB!W11)</f>
      </c>
      <c r="BJ71" s="964"/>
      <c r="BK71" s="968">
        <f>IF(OR(Kalkulation_Eigenstrom!$AN$49=1,Kalkulation_Eigenstrom!$AN$49=3,$BM$71=0),"",ZRB!AF11)</f>
      </c>
      <c r="BL71" s="968"/>
      <c r="BM71" s="953">
        <f>IF(Kalkulation_Eigenstrom!AN49=3,"",ZRB!AA11)</f>
      </c>
      <c r="BN71" s="953"/>
      <c r="BO71" s="999"/>
      <c r="BP71" s="476"/>
      <c r="BQ71" s="255"/>
      <c r="BR71" s="347"/>
      <c r="BS71" s="266"/>
      <c r="BT71" s="274"/>
      <c r="BU71" s="830">
        <f>ZRB!G107</f>
        <v>17</v>
      </c>
      <c r="BV71" s="853"/>
      <c r="BW71" s="846"/>
      <c r="BX71" s="846"/>
      <c r="BY71" s="846"/>
      <c r="BZ71" s="846"/>
      <c r="CA71" s="846"/>
      <c r="CB71" s="846"/>
      <c r="CC71" s="846"/>
      <c r="CD71" s="846"/>
      <c r="CE71" s="846"/>
      <c r="CF71" s="846"/>
      <c r="CG71" s="846"/>
      <c r="CH71" s="846"/>
      <c r="CI71" s="847"/>
      <c r="CJ71" s="274"/>
      <c r="CK71" s="266"/>
      <c r="CL71" s="266"/>
      <c r="CM71" s="592"/>
      <c r="CN71" s="1009">
        <f>IF(AN19=1,"",IF(AN11=1,"","Bei der geplanten "&amp;ZRB!G10&amp;" ("&amp;ROUND(ZRB!G6,2)&amp;" kWp) mit einem spez. Ertrag von "&amp;ZRB!G18&amp;" kWh/kWp,"))</f>
      </c>
      <c r="CO71" s="1009"/>
      <c r="CP71" s="1009"/>
      <c r="CQ71" s="1009"/>
      <c r="CR71" s="1009"/>
      <c r="CS71" s="1009"/>
      <c r="CT71" s="1009"/>
      <c r="CU71" s="1009"/>
      <c r="CV71" s="1009"/>
      <c r="CW71" s="1009"/>
      <c r="CX71" s="1009"/>
      <c r="CY71" s="1009"/>
      <c r="CZ71" s="1009"/>
      <c r="DA71" s="1009"/>
      <c r="DB71" s="593"/>
      <c r="DC71" s="266"/>
      <c r="DD71" s="266"/>
      <c r="DE71" s="266"/>
      <c r="DF71" s="266"/>
      <c r="DG71" s="266"/>
      <c r="DH71" s="266"/>
      <c r="DI71" s="266"/>
      <c r="DJ71" s="266"/>
      <c r="DK71" s="266"/>
      <c r="DL71" s="266"/>
      <c r="DM71" s="266"/>
      <c r="DN71" s="266"/>
      <c r="DO71" s="266"/>
    </row>
    <row r="72" spans="1:119" s="7" customFormat="1" ht="2.25" customHeight="1" thickBot="1">
      <c r="A72" s="495"/>
      <c r="B72" s="497"/>
      <c r="C72" s="496"/>
      <c r="D72" s="495"/>
      <c r="E72" s="545"/>
      <c r="F72" s="544"/>
      <c r="G72" s="442"/>
      <c r="H72" s="390"/>
      <c r="I72" s="390"/>
      <c r="J72" s="390"/>
      <c r="K72" s="1106"/>
      <c r="L72" s="1106"/>
      <c r="M72" s="1106"/>
      <c r="N72" s="1106"/>
      <c r="O72" s="1106"/>
      <c r="P72" s="1087"/>
      <c r="Q72" s="1087"/>
      <c r="R72" s="1087"/>
      <c r="S72" s="443"/>
      <c r="T72" s="546"/>
      <c r="U72" s="275"/>
      <c r="V72" s="414"/>
      <c r="W72" s="1093"/>
      <c r="X72" s="1093"/>
      <c r="Y72" s="1093"/>
      <c r="Z72" s="1093"/>
      <c r="AA72" s="1093"/>
      <c r="AB72" s="1093"/>
      <c r="AC72" s="1093"/>
      <c r="AD72" s="1093"/>
      <c r="AE72" s="1093"/>
      <c r="AF72" s="1093"/>
      <c r="AG72" s="1093"/>
      <c r="AH72" s="1093"/>
      <c r="AI72" s="1093"/>
      <c r="AJ72" s="1093"/>
      <c r="AK72" s="415"/>
      <c r="AL72" s="266"/>
      <c r="AM72" s="266"/>
      <c r="AN72" s="345"/>
      <c r="AO72" s="448"/>
      <c r="AP72" s="251"/>
      <c r="AQ72" s="254"/>
      <c r="AR72" s="258"/>
      <c r="AS72" s="259"/>
      <c r="AT72" s="259"/>
      <c r="AU72" s="259"/>
      <c r="AV72" s="259"/>
      <c r="AW72" s="259"/>
      <c r="AX72" s="256"/>
      <c r="AY72" s="272"/>
      <c r="AZ72" s="272"/>
      <c r="BA72" s="347"/>
      <c r="BB72" s="266"/>
      <c r="BC72" s="266"/>
      <c r="BD72" s="266"/>
      <c r="BE72" s="413"/>
      <c r="BF72" s="253"/>
      <c r="BG72" s="253"/>
      <c r="BH72" s="253"/>
      <c r="BI72" s="253"/>
      <c r="BJ72" s="253"/>
      <c r="BK72" s="253"/>
      <c r="BL72" s="253"/>
      <c r="BM72" s="253"/>
      <c r="BN72" s="253"/>
      <c r="BO72" s="253"/>
      <c r="BP72" s="253"/>
      <c r="BQ72" s="253"/>
      <c r="BR72" s="704"/>
      <c r="BS72" s="266"/>
      <c r="BT72" s="274"/>
      <c r="BU72" s="830"/>
      <c r="BV72" s="834"/>
      <c r="BW72" s="261"/>
      <c r="BX72" s="261"/>
      <c r="BY72" s="261"/>
      <c r="BZ72" s="261"/>
      <c r="CA72" s="261"/>
      <c r="CB72" s="261"/>
      <c r="CC72" s="261"/>
      <c r="CD72" s="261"/>
      <c r="CE72" s="261"/>
      <c r="CF72" s="261"/>
      <c r="CG72" s="261"/>
      <c r="CH72" s="261"/>
      <c r="CI72" s="835"/>
      <c r="CJ72" s="274"/>
      <c r="CK72" s="266"/>
      <c r="CL72" s="266"/>
      <c r="CM72" s="592"/>
      <c r="CN72" s="1009"/>
      <c r="CO72" s="1009"/>
      <c r="CP72" s="1009"/>
      <c r="CQ72" s="1009"/>
      <c r="CR72" s="1009"/>
      <c r="CS72" s="1009"/>
      <c r="CT72" s="1009"/>
      <c r="CU72" s="1009"/>
      <c r="CV72" s="1009"/>
      <c r="CW72" s="1009"/>
      <c r="CX72" s="1009"/>
      <c r="CY72" s="1009"/>
      <c r="CZ72" s="1009"/>
      <c r="DA72" s="1009"/>
      <c r="DB72" s="593"/>
      <c r="DC72" s="266"/>
      <c r="DD72" s="266"/>
      <c r="DE72" s="266"/>
      <c r="DF72" s="266"/>
      <c r="DG72" s="266"/>
      <c r="DH72" s="266"/>
      <c r="DI72" s="266"/>
      <c r="DJ72" s="266"/>
      <c r="DK72" s="266"/>
      <c r="DL72" s="266"/>
      <c r="DM72" s="266"/>
      <c r="DN72" s="266"/>
      <c r="DO72" s="266"/>
    </row>
    <row r="73" spans="1:119" s="7" customFormat="1" ht="11.25" customHeight="1" thickTop="1">
      <c r="A73" s="495"/>
      <c r="B73" s="1102" t="s">
        <v>368</v>
      </c>
      <c r="C73" s="1103"/>
      <c r="D73" s="495"/>
      <c r="E73" s="545"/>
      <c r="F73" s="544"/>
      <c r="G73" s="442"/>
      <c r="H73" s="682" t="s">
        <v>363</v>
      </c>
      <c r="I73" s="682"/>
      <c r="J73" s="682"/>
      <c r="K73" s="1106" t="str">
        <f>"Stromverkauf nach d. "&amp;AN33&amp;". Jahr"</f>
        <v>Stromverkauf nach d. 20. Jahr</v>
      </c>
      <c r="L73" s="1106"/>
      <c r="M73" s="1106"/>
      <c r="N73" s="1106"/>
      <c r="O73" s="1106"/>
      <c r="P73" s="390"/>
      <c r="Q73" s="1044">
        <f>AN43/1000</f>
        <v>0.15</v>
      </c>
      <c r="R73" s="1045"/>
      <c r="S73" s="443"/>
      <c r="T73" s="546"/>
      <c r="U73" s="275"/>
      <c r="V73" s="275"/>
      <c r="W73" s="275"/>
      <c r="X73" s="275"/>
      <c r="Y73" s="275"/>
      <c r="Z73" s="275"/>
      <c r="AA73" s="275"/>
      <c r="AB73" s="275"/>
      <c r="AC73" s="275"/>
      <c r="AD73" s="275"/>
      <c r="AE73" s="275"/>
      <c r="AF73" s="275"/>
      <c r="AG73" s="275"/>
      <c r="AH73" s="275"/>
      <c r="AI73" s="275"/>
      <c r="AJ73" s="275"/>
      <c r="AK73" s="275"/>
      <c r="AL73" s="266"/>
      <c r="AM73" s="266"/>
      <c r="AN73" s="345"/>
      <c r="AO73" s="448"/>
      <c r="AP73" s="969" t="s">
        <v>282</v>
      </c>
      <c r="AQ73" s="969"/>
      <c r="AR73" s="969"/>
      <c r="AS73" s="969"/>
      <c r="AT73" s="969"/>
      <c r="AU73" s="969"/>
      <c r="AV73" s="969"/>
      <c r="AW73" s="253"/>
      <c r="AX73" s="268" t="s">
        <v>58</v>
      </c>
      <c r="AY73" s="954"/>
      <c r="AZ73" s="954"/>
      <c r="BA73" s="347"/>
      <c r="BB73" s="266"/>
      <c r="BC73" s="266"/>
      <c r="BD73" s="266"/>
      <c r="BE73" s="413"/>
      <c r="BF73" s="1019" t="str">
        <f>ZRB!B95</f>
        <v>keine Anlage erfasst !!</v>
      </c>
      <c r="BG73" s="1020"/>
      <c r="BH73" s="1020"/>
      <c r="BI73" s="1020"/>
      <c r="BJ73" s="1020"/>
      <c r="BK73" s="1020"/>
      <c r="BL73" s="1020"/>
      <c r="BM73" s="1020"/>
      <c r="BN73" s="1020"/>
      <c r="BO73" s="1020"/>
      <c r="BP73" s="1020"/>
      <c r="BQ73" s="1021"/>
      <c r="BR73" s="455"/>
      <c r="BS73" s="266"/>
      <c r="BT73" s="274"/>
      <c r="BU73" s="830">
        <f>ZRB!G108</f>
        <v>12</v>
      </c>
      <c r="BV73" s="852">
        <f>IF(OR(BU17=1,BU19=1),"","Berechnung der anteiligen EEG-Umlage für den Stromeigenverbrauch")</f>
      </c>
      <c r="BW73" s="261"/>
      <c r="BX73" s="261"/>
      <c r="BY73" s="261"/>
      <c r="BZ73" s="261"/>
      <c r="CA73" s="261"/>
      <c r="CB73" s="261"/>
      <c r="CC73" s="261"/>
      <c r="CD73" s="261"/>
      <c r="CE73" s="261"/>
      <c r="CF73" s="261"/>
      <c r="CG73" s="261"/>
      <c r="CH73" s="261"/>
      <c r="CI73" s="835"/>
      <c r="CJ73" s="274"/>
      <c r="CK73" s="266"/>
      <c r="CL73" s="266"/>
      <c r="CM73" s="592"/>
      <c r="CN73" s="1009">
        <f>IF(AN19=1,"",IF(AN11=1,"","Herstellungskosten von "&amp;ZRB!G57&amp;" €, einer Laufzeit der Anlage von "&amp;ZRB!G21&amp;" Jahren, einer unter-"))</f>
      </c>
      <c r="CO73" s="1009"/>
      <c r="CP73" s="1009"/>
      <c r="CQ73" s="1009"/>
      <c r="CR73" s="1009"/>
      <c r="CS73" s="1009"/>
      <c r="CT73" s="1009"/>
      <c r="CU73" s="1009"/>
      <c r="CV73" s="1009"/>
      <c r="CW73" s="1009"/>
      <c r="CX73" s="1009"/>
      <c r="CY73" s="1009"/>
      <c r="CZ73" s="1009"/>
      <c r="DA73" s="1009"/>
      <c r="DB73" s="593"/>
      <c r="DC73" s="266"/>
      <c r="DD73" s="266"/>
      <c r="DE73" s="266"/>
      <c r="DF73" s="266"/>
      <c r="DG73" s="266"/>
      <c r="DH73" s="266"/>
      <c r="DI73" s="266"/>
      <c r="DJ73" s="266"/>
      <c r="DK73" s="266"/>
      <c r="DL73" s="266"/>
      <c r="DM73" s="266"/>
      <c r="DN73" s="266"/>
      <c r="DO73" s="266"/>
    </row>
    <row r="74" spans="1:119" s="7" customFormat="1" ht="2.25" customHeight="1">
      <c r="A74" s="495"/>
      <c r="B74" s="1104"/>
      <c r="C74" s="1105"/>
      <c r="D74" s="495"/>
      <c r="E74" s="545"/>
      <c r="F74" s="544"/>
      <c r="G74" s="442"/>
      <c r="H74" s="682"/>
      <c r="I74" s="682"/>
      <c r="J74" s="682"/>
      <c r="K74" s="1106"/>
      <c r="L74" s="1106"/>
      <c r="M74" s="1106"/>
      <c r="N74" s="1106"/>
      <c r="O74" s="1106"/>
      <c r="P74" s="390"/>
      <c r="Q74" s="390"/>
      <c r="R74" s="390"/>
      <c r="S74" s="443"/>
      <c r="T74" s="546"/>
      <c r="U74" s="275"/>
      <c r="V74" s="275"/>
      <c r="W74" s="275"/>
      <c r="X74" s="275"/>
      <c r="Y74" s="275"/>
      <c r="Z74" s="275"/>
      <c r="AA74" s="275"/>
      <c r="AB74" s="275"/>
      <c r="AC74" s="275"/>
      <c r="AD74" s="275"/>
      <c r="AE74" s="275"/>
      <c r="AF74" s="275"/>
      <c r="AG74" s="275"/>
      <c r="AH74" s="275"/>
      <c r="AI74" s="275"/>
      <c r="AJ74" s="275"/>
      <c r="AK74" s="275"/>
      <c r="AL74" s="266"/>
      <c r="AM74" s="266"/>
      <c r="AN74" s="345"/>
      <c r="AO74" s="448"/>
      <c r="AP74" s="260"/>
      <c r="AQ74" s="434"/>
      <c r="AR74" s="426"/>
      <c r="AS74" s="426"/>
      <c r="AT74" s="426"/>
      <c r="AU74" s="426"/>
      <c r="AV74" s="426"/>
      <c r="AW74" s="253"/>
      <c r="AX74" s="256"/>
      <c r="AY74" s="272"/>
      <c r="AZ74" s="272"/>
      <c r="BA74" s="347"/>
      <c r="BB74" s="266"/>
      <c r="BC74" s="266"/>
      <c r="BD74" s="266"/>
      <c r="BE74" s="413"/>
      <c r="BF74" s="1022"/>
      <c r="BG74" s="1023"/>
      <c r="BH74" s="1023"/>
      <c r="BI74" s="1023"/>
      <c r="BJ74" s="1023"/>
      <c r="BK74" s="1023"/>
      <c r="BL74" s="1023"/>
      <c r="BM74" s="1023"/>
      <c r="BN74" s="1023"/>
      <c r="BO74" s="1023"/>
      <c r="BP74" s="1023"/>
      <c r="BQ74" s="1024"/>
      <c r="BR74" s="455"/>
      <c r="BS74" s="266"/>
      <c r="BT74" s="274"/>
      <c r="BU74" s="830"/>
      <c r="BV74" s="834"/>
      <c r="BW74" s="261"/>
      <c r="BX74" s="261"/>
      <c r="BY74" s="261"/>
      <c r="BZ74" s="261"/>
      <c r="CA74" s="261"/>
      <c r="CB74" s="261"/>
      <c r="CC74" s="261"/>
      <c r="CD74" s="261"/>
      <c r="CE74" s="261"/>
      <c r="CF74" s="261"/>
      <c r="CG74" s="261"/>
      <c r="CH74" s="261"/>
      <c r="CI74" s="835"/>
      <c r="CJ74" s="274"/>
      <c r="CK74" s="266"/>
      <c r="CL74" s="266"/>
      <c r="CM74" s="592"/>
      <c r="CN74" s="1009"/>
      <c r="CO74" s="1009"/>
      <c r="CP74" s="1009"/>
      <c r="CQ74" s="1009"/>
      <c r="CR74" s="1009"/>
      <c r="CS74" s="1009"/>
      <c r="CT74" s="1009"/>
      <c r="CU74" s="1009"/>
      <c r="CV74" s="1009"/>
      <c r="CW74" s="1009"/>
      <c r="CX74" s="1009"/>
      <c r="CY74" s="1009"/>
      <c r="CZ74" s="1009"/>
      <c r="DA74" s="1009"/>
      <c r="DB74" s="593"/>
      <c r="DC74" s="266"/>
      <c r="DD74" s="266"/>
      <c r="DE74" s="266"/>
      <c r="DF74" s="266"/>
      <c r="DG74" s="266"/>
      <c r="DH74" s="266"/>
      <c r="DI74" s="266"/>
      <c r="DJ74" s="266"/>
      <c r="DK74" s="266"/>
      <c r="DL74" s="266"/>
      <c r="DM74" s="266"/>
      <c r="DN74" s="266"/>
      <c r="DO74" s="266"/>
    </row>
    <row r="75" spans="1:119" s="7" customFormat="1" ht="11.25" customHeight="1">
      <c r="A75" s="495"/>
      <c r="B75" s="1104"/>
      <c r="C75" s="1105"/>
      <c r="D75" s="495"/>
      <c r="E75" s="545"/>
      <c r="F75" s="544"/>
      <c r="G75" s="442"/>
      <c r="H75" s="1142">
        <f>IF(ZRB!F12&gt;=40,"","- Strom-Eigenverbrauchsbonus (01/09 bis 03/2012)")</f>
      </c>
      <c r="I75" s="1142"/>
      <c r="J75" s="1142"/>
      <c r="K75" s="1142"/>
      <c r="L75" s="1142"/>
      <c r="M75" s="1142"/>
      <c r="N75" s="1142"/>
      <c r="O75" s="1142"/>
      <c r="P75" s="1087">
        <f>IF(AN11=1,"",IF(ZRB!F12&gt;=40,"",ZRB!G85*-1))</f>
      </c>
      <c r="Q75" s="1087"/>
      <c r="R75" s="1087"/>
      <c r="S75" s="443"/>
      <c r="T75" s="546"/>
      <c r="U75" s="275"/>
      <c r="V75" s="275"/>
      <c r="W75" s="275"/>
      <c r="X75" s="275"/>
      <c r="Y75" s="275"/>
      <c r="Z75" s="275"/>
      <c r="AA75" s="275"/>
      <c r="AB75" s="275"/>
      <c r="AC75" s="275"/>
      <c r="AD75" s="275"/>
      <c r="AE75" s="275"/>
      <c r="AF75" s="275"/>
      <c r="AG75" s="275"/>
      <c r="AH75" s="275"/>
      <c r="AI75" s="275"/>
      <c r="AJ75" s="275"/>
      <c r="AK75" s="275"/>
      <c r="AL75" s="266"/>
      <c r="AM75" s="266"/>
      <c r="AN75" s="345"/>
      <c r="AO75" s="448"/>
      <c r="AP75" s="969"/>
      <c r="AQ75" s="969"/>
      <c r="AR75" s="969"/>
      <c r="AS75" s="969"/>
      <c r="AT75" s="969"/>
      <c r="AU75" s="969"/>
      <c r="AV75" s="969"/>
      <c r="AW75" s="253"/>
      <c r="AX75" s="268" t="s">
        <v>58</v>
      </c>
      <c r="AY75" s="954"/>
      <c r="AZ75" s="954"/>
      <c r="BA75" s="347"/>
      <c r="BB75" s="266"/>
      <c r="BC75" s="266"/>
      <c r="BD75" s="266"/>
      <c r="BE75" s="413"/>
      <c r="BF75" s="1025"/>
      <c r="BG75" s="1026"/>
      <c r="BH75" s="1026"/>
      <c r="BI75" s="1026"/>
      <c r="BJ75" s="1026"/>
      <c r="BK75" s="1026"/>
      <c r="BL75" s="1026"/>
      <c r="BM75" s="1026"/>
      <c r="BN75" s="1026"/>
      <c r="BO75" s="1026"/>
      <c r="BP75" s="1026"/>
      <c r="BQ75" s="1027"/>
      <c r="BR75" s="455"/>
      <c r="BS75" s="266"/>
      <c r="BT75" s="274"/>
      <c r="BU75" s="830">
        <f>ZRB!G109</f>
        <v>211</v>
      </c>
      <c r="BV75" s="834"/>
      <c r="BW75" s="261">
        <f>IF(OR(BU17=1,BU19=1),"","&gt;&gt; ab 01.01.2017  ("&amp;ZRB!E109*100&amp;"%)")</f>
      </c>
      <c r="BX75" s="261"/>
      <c r="BY75" s="261"/>
      <c r="BZ75" s="486"/>
      <c r="CA75" s="261"/>
      <c r="CB75" s="261"/>
      <c r="CC75" s="261"/>
      <c r="CD75" s="261"/>
      <c r="CE75" s="1013">
        <f>IF(OR(BU17=1,BU19=1),"",ZRB!F109*100)</f>
      </c>
      <c r="CF75" s="1013"/>
      <c r="CG75" s="1013"/>
      <c r="CH75" s="1013"/>
      <c r="CI75" s="835"/>
      <c r="CJ75" s="274"/>
      <c r="CK75" s="266"/>
      <c r="CL75" s="266"/>
      <c r="CM75" s="592"/>
      <c r="CN75" s="1009">
        <f>IF(AN19=1,ZRB!B35,IF(AN11=1,"","stellten Verzinsung des Kapitals  von "&amp;ROUND(ZRB!F58,3)*100&amp;" %, Inbetriebnahme im "&amp;ZRB!G12&amp;", beläuft sich"))</f>
      </c>
      <c r="CO75" s="1009"/>
      <c r="CP75" s="1009"/>
      <c r="CQ75" s="1009"/>
      <c r="CR75" s="1009"/>
      <c r="CS75" s="1009"/>
      <c r="CT75" s="1009"/>
      <c r="CU75" s="1009"/>
      <c r="CV75" s="1009"/>
      <c r="CW75" s="1009"/>
      <c r="CX75" s="1009"/>
      <c r="CY75" s="1009"/>
      <c r="CZ75" s="1009"/>
      <c r="DA75" s="1009"/>
      <c r="DB75" s="593"/>
      <c r="DC75" s="266"/>
      <c r="DD75" s="266"/>
      <c r="DE75" s="266"/>
      <c r="DF75" s="266"/>
      <c r="DG75" s="266"/>
      <c r="DH75" s="266"/>
      <c r="DI75" s="266"/>
      <c r="DJ75" s="266"/>
      <c r="DK75" s="266"/>
      <c r="DL75" s="266"/>
      <c r="DM75" s="266"/>
      <c r="DN75" s="266"/>
      <c r="DO75" s="266"/>
    </row>
    <row r="76" spans="1:119" s="7" customFormat="1" ht="2.25" customHeight="1" thickBot="1">
      <c r="A76" s="495"/>
      <c r="B76" s="1104"/>
      <c r="C76" s="1105"/>
      <c r="D76" s="495"/>
      <c r="E76" s="545"/>
      <c r="F76" s="544"/>
      <c r="G76" s="442"/>
      <c r="H76" s="1142"/>
      <c r="I76" s="1142"/>
      <c r="J76" s="1142"/>
      <c r="K76" s="1142"/>
      <c r="L76" s="1142"/>
      <c r="M76" s="1142"/>
      <c r="N76" s="1142"/>
      <c r="O76" s="1143"/>
      <c r="P76" s="1088"/>
      <c r="Q76" s="1088"/>
      <c r="R76" s="1088"/>
      <c r="S76" s="578"/>
      <c r="T76" s="546"/>
      <c r="U76" s="275"/>
      <c r="V76" s="166"/>
      <c r="W76" s="166"/>
      <c r="X76" s="166"/>
      <c r="Y76" s="166"/>
      <c r="Z76" s="166"/>
      <c r="AA76" s="166"/>
      <c r="AB76" s="166"/>
      <c r="AC76" s="166"/>
      <c r="AD76" s="166"/>
      <c r="AE76" s="166"/>
      <c r="AF76" s="166"/>
      <c r="AG76" s="166"/>
      <c r="AH76" s="166"/>
      <c r="AI76" s="166"/>
      <c r="AJ76" s="166"/>
      <c r="AK76" s="166"/>
      <c r="AL76" s="266"/>
      <c r="AM76" s="266"/>
      <c r="AN76" s="345"/>
      <c r="AO76" s="448"/>
      <c r="AP76" s="974" t="s">
        <v>319</v>
      </c>
      <c r="AQ76" s="974"/>
      <c r="AR76" s="974"/>
      <c r="AS76" s="974"/>
      <c r="AT76" s="974"/>
      <c r="AU76" s="974"/>
      <c r="AV76" s="974"/>
      <c r="AW76" s="974"/>
      <c r="AX76" s="974"/>
      <c r="AY76" s="965">
        <f>ZRB!G78</f>
        <v>0</v>
      </c>
      <c r="AZ76" s="965"/>
      <c r="BA76" s="455"/>
      <c r="BB76" s="266"/>
      <c r="BC76" s="266"/>
      <c r="BD76" s="266"/>
      <c r="BE76" s="479"/>
      <c r="BF76" s="480"/>
      <c r="BG76" s="480"/>
      <c r="BH76" s="480"/>
      <c r="BI76" s="480"/>
      <c r="BJ76" s="480"/>
      <c r="BK76" s="480"/>
      <c r="BL76" s="480"/>
      <c r="BM76" s="480"/>
      <c r="BN76" s="481"/>
      <c r="BO76" s="482"/>
      <c r="BP76" s="482"/>
      <c r="BQ76" s="482"/>
      <c r="BR76" s="705"/>
      <c r="BS76" s="266"/>
      <c r="BT76" s="274"/>
      <c r="BU76" s="830"/>
      <c r="BV76" s="834"/>
      <c r="BW76" s="261"/>
      <c r="BX76" s="261"/>
      <c r="BY76" s="261"/>
      <c r="BZ76" s="486"/>
      <c r="CA76" s="261"/>
      <c r="CB76" s="261"/>
      <c r="CC76" s="261"/>
      <c r="CD76" s="261"/>
      <c r="CE76" s="261"/>
      <c r="CF76" s="261"/>
      <c r="CG76" s="261"/>
      <c r="CH76" s="261"/>
      <c r="CI76" s="835"/>
      <c r="CJ76" s="274"/>
      <c r="CK76" s="266"/>
      <c r="CL76" s="266"/>
      <c r="CM76" s="592"/>
      <c r="CN76" s="1009"/>
      <c r="CO76" s="1009"/>
      <c r="CP76" s="1009"/>
      <c r="CQ76" s="1009"/>
      <c r="CR76" s="1009"/>
      <c r="CS76" s="1009"/>
      <c r="CT76" s="1009"/>
      <c r="CU76" s="1009"/>
      <c r="CV76" s="1009"/>
      <c r="CW76" s="1009"/>
      <c r="CX76" s="1009"/>
      <c r="CY76" s="1009"/>
      <c r="CZ76" s="1009"/>
      <c r="DA76" s="1009"/>
      <c r="DB76" s="593"/>
      <c r="DC76" s="266"/>
      <c r="DD76" s="266"/>
      <c r="DE76" s="266"/>
      <c r="DF76" s="266"/>
      <c r="DG76" s="266"/>
      <c r="DH76" s="266"/>
      <c r="DI76" s="266"/>
      <c r="DJ76" s="266"/>
      <c r="DK76" s="266"/>
      <c r="DL76" s="266"/>
      <c r="DM76" s="266"/>
      <c r="DN76" s="266"/>
      <c r="DO76" s="266"/>
    </row>
    <row r="77" spans="1:119" s="7" customFormat="1" ht="11.25" customHeight="1" thickBot="1" thickTop="1">
      <c r="A77" s="495"/>
      <c r="B77" s="1057" t="s">
        <v>364</v>
      </c>
      <c r="C77" s="1058"/>
      <c r="D77" s="495"/>
      <c r="E77" s="545"/>
      <c r="F77" s="544"/>
      <c r="G77" s="1144">
        <f>IF(AN11=1,""," &gt;  Bei einem Eigenstromverbrauch von 
     "&amp;ROUND(ZRB!G30,0)&amp;" kWh ("&amp;ROUND(ZRB!I31,2)*100&amp;"%) und einer Kapitalver-
     zinsung von "&amp;ROUND(AN59/10,1)&amp;"% liegen die Kosten bei:")</f>
      </c>
      <c r="H77" s="1145"/>
      <c r="I77" s="1145"/>
      <c r="J77" s="1145"/>
      <c r="K77" s="1145"/>
      <c r="L77" s="1145"/>
      <c r="M77" s="1145"/>
      <c r="N77" s="1146"/>
      <c r="O77" s="1095">
        <f>IF(AN11=1,"","1 kWh Eigenstrom kostet:")</f>
      </c>
      <c r="P77" s="1096"/>
      <c r="Q77" s="1096"/>
      <c r="R77" s="1096"/>
      <c r="S77" s="1097"/>
      <c r="T77" s="546"/>
      <c r="U77" s="275"/>
      <c r="V77" s="166"/>
      <c r="W77" s="166"/>
      <c r="X77" s="166"/>
      <c r="Y77" s="166"/>
      <c r="Z77" s="166"/>
      <c r="AA77" s="166"/>
      <c r="AB77" s="166"/>
      <c r="AC77" s="166"/>
      <c r="AD77" s="166"/>
      <c r="AE77" s="166"/>
      <c r="AF77" s="166"/>
      <c r="AG77" s="166"/>
      <c r="AH77" s="166"/>
      <c r="AI77" s="166"/>
      <c r="AJ77" s="166"/>
      <c r="AK77" s="166"/>
      <c r="AL77" s="266"/>
      <c r="AM77" s="266"/>
      <c r="AN77" s="345"/>
      <c r="AO77" s="447"/>
      <c r="AP77" s="974"/>
      <c r="AQ77" s="974"/>
      <c r="AR77" s="974"/>
      <c r="AS77" s="974"/>
      <c r="AT77" s="974"/>
      <c r="AU77" s="974"/>
      <c r="AV77" s="974"/>
      <c r="AW77" s="974"/>
      <c r="AX77" s="974"/>
      <c r="AY77" s="965"/>
      <c r="AZ77" s="965"/>
      <c r="BA77" s="455"/>
      <c r="BB77" s="266"/>
      <c r="BC77" s="266"/>
      <c r="BD77" s="266"/>
      <c r="BE77" s="266"/>
      <c r="BF77" s="266"/>
      <c r="BG77" s="266"/>
      <c r="BH77" s="266"/>
      <c r="BI77" s="266"/>
      <c r="BJ77" s="266"/>
      <c r="BK77" s="266"/>
      <c r="BL77" s="266"/>
      <c r="BM77" s="266"/>
      <c r="BN77" s="266"/>
      <c r="BO77" s="266"/>
      <c r="BP77" s="266"/>
      <c r="BQ77" s="266"/>
      <c r="BR77" s="266"/>
      <c r="BS77" s="266"/>
      <c r="BT77" s="274"/>
      <c r="BU77" s="830"/>
      <c r="BV77" s="834"/>
      <c r="BW77" s="261">
        <f>IF(OR(BU17=1,BU19=1),"",IF(ZRB!G108&gt;0,"&gt;&gt; von 01.01. bis 31.12.2016  ("&amp;ZRB!E108*100&amp;"%)",""))</f>
      </c>
      <c r="BX77" s="261"/>
      <c r="BY77" s="261"/>
      <c r="BZ77" s="486"/>
      <c r="CA77" s="261"/>
      <c r="CB77" s="261"/>
      <c r="CC77" s="261"/>
      <c r="CD77" s="261"/>
      <c r="CE77" s="1013">
        <f>IF(OR(BU17=1,BU19=1),"",ZRB!F108*100)</f>
      </c>
      <c r="CF77" s="1013"/>
      <c r="CG77" s="1013"/>
      <c r="CH77" s="1013"/>
      <c r="CI77" s="835"/>
      <c r="CJ77" s="274"/>
      <c r="CK77" s="266"/>
      <c r="CL77" s="266"/>
      <c r="CM77" s="592"/>
      <c r="CN77" s="1009">
        <f>IF(AN19=1,"",IF(AN11=1,"",IF(ZRB!G103&gt;=0,"der Vorteil bei "&amp;ROUND(ZRB!F30,2)&amp;" % Eigenstromnutzung (ca. "&amp;ROUND(ZRB!G30,0)&amp;" kWh/Jahr) auf durchschnittlich","der Nachteil bei "&amp;ROUND(ZRB!F30,2)&amp;" % Eigenstromnutzung (ca. "&amp;ROUND(ZRB!G30,0)&amp;" kWh/Jahr) auf durchschnittlich")))</f>
      </c>
      <c r="CO77" s="1009"/>
      <c r="CP77" s="1009"/>
      <c r="CQ77" s="1009"/>
      <c r="CR77" s="1009"/>
      <c r="CS77" s="1009"/>
      <c r="CT77" s="1009"/>
      <c r="CU77" s="1009"/>
      <c r="CV77" s="1009"/>
      <c r="CW77" s="1009"/>
      <c r="CX77" s="1009"/>
      <c r="CY77" s="1009"/>
      <c r="CZ77" s="1009"/>
      <c r="DA77" s="1009"/>
      <c r="DB77" s="593"/>
      <c r="DC77" s="266"/>
      <c r="DD77" s="266"/>
      <c r="DE77" s="266"/>
      <c r="DF77" s="266"/>
      <c r="DG77" s="266"/>
      <c r="DH77" s="266"/>
      <c r="DI77" s="266"/>
      <c r="DJ77" s="266"/>
      <c r="DK77" s="266"/>
      <c r="DL77" s="266"/>
      <c r="DM77" s="266"/>
      <c r="DN77" s="266"/>
      <c r="DO77" s="266"/>
    </row>
    <row r="78" spans="1:119" s="7" customFormat="1" ht="2.25" customHeight="1" thickTop="1">
      <c r="A78" s="495"/>
      <c r="B78" s="497"/>
      <c r="C78" s="496"/>
      <c r="D78" s="495"/>
      <c r="E78" s="545"/>
      <c r="F78" s="544"/>
      <c r="G78" s="1147"/>
      <c r="H78" s="1148"/>
      <c r="I78" s="1148"/>
      <c r="J78" s="1148"/>
      <c r="K78" s="1148"/>
      <c r="L78" s="1148"/>
      <c r="M78" s="1148"/>
      <c r="N78" s="1149"/>
      <c r="O78" s="1098"/>
      <c r="P78" s="1099"/>
      <c r="Q78" s="1099"/>
      <c r="R78" s="1099"/>
      <c r="S78" s="1100"/>
      <c r="T78" s="546"/>
      <c r="U78" s="275"/>
      <c r="V78" s="166"/>
      <c r="W78" s="166"/>
      <c r="X78" s="166"/>
      <c r="Y78" s="166"/>
      <c r="Z78" s="166"/>
      <c r="AA78" s="166"/>
      <c r="AB78" s="166"/>
      <c r="AC78" s="166"/>
      <c r="AD78" s="166"/>
      <c r="AE78" s="166"/>
      <c r="AF78" s="166"/>
      <c r="AG78" s="166"/>
      <c r="AH78" s="166"/>
      <c r="AI78" s="166"/>
      <c r="AJ78" s="166"/>
      <c r="AK78" s="166"/>
      <c r="AL78" s="266"/>
      <c r="AM78" s="266"/>
      <c r="AN78" s="345"/>
      <c r="AO78" s="448"/>
      <c r="AP78" s="974"/>
      <c r="AQ78" s="974"/>
      <c r="AR78" s="974"/>
      <c r="AS78" s="974"/>
      <c r="AT78" s="974"/>
      <c r="AU78" s="974"/>
      <c r="AV78" s="974"/>
      <c r="AW78" s="974"/>
      <c r="AX78" s="974"/>
      <c r="AY78" s="965"/>
      <c r="AZ78" s="965"/>
      <c r="BA78" s="455"/>
      <c r="BB78" s="266"/>
      <c r="BC78" s="266"/>
      <c r="BD78" s="266"/>
      <c r="BE78" s="266"/>
      <c r="BF78" s="266"/>
      <c r="BG78" s="266"/>
      <c r="BH78" s="266"/>
      <c r="BI78" s="266"/>
      <c r="BJ78" s="266"/>
      <c r="BK78" s="266"/>
      <c r="BL78" s="266"/>
      <c r="BM78" s="266"/>
      <c r="BN78" s="266"/>
      <c r="BO78" s="266"/>
      <c r="BP78" s="266"/>
      <c r="BQ78" s="266"/>
      <c r="BR78" s="266"/>
      <c r="BS78" s="266"/>
      <c r="BT78" s="274"/>
      <c r="BU78" s="830"/>
      <c r="BV78" s="834"/>
      <c r="BW78" s="261"/>
      <c r="BX78" s="261"/>
      <c r="BY78" s="261"/>
      <c r="BZ78" s="261"/>
      <c r="CA78" s="261"/>
      <c r="CB78" s="261"/>
      <c r="CC78" s="261"/>
      <c r="CD78" s="261"/>
      <c r="CE78" s="261"/>
      <c r="CF78" s="261"/>
      <c r="CG78" s="261"/>
      <c r="CH78" s="261"/>
      <c r="CI78" s="835"/>
      <c r="CJ78" s="274"/>
      <c r="CK78" s="266"/>
      <c r="CL78" s="266"/>
      <c r="CM78" s="592"/>
      <c r="CN78" s="1009"/>
      <c r="CO78" s="1009"/>
      <c r="CP78" s="1009"/>
      <c r="CQ78" s="1009"/>
      <c r="CR78" s="1009"/>
      <c r="CS78" s="1009"/>
      <c r="CT78" s="1009"/>
      <c r="CU78" s="1009"/>
      <c r="CV78" s="1009"/>
      <c r="CW78" s="1009"/>
      <c r="CX78" s="1009"/>
      <c r="CY78" s="1009"/>
      <c r="CZ78" s="1009"/>
      <c r="DA78" s="1009"/>
      <c r="DB78" s="593"/>
      <c r="DC78" s="266"/>
      <c r="DD78" s="266"/>
      <c r="DE78" s="266"/>
      <c r="DF78" s="266"/>
      <c r="DG78" s="266"/>
      <c r="DH78" s="266"/>
      <c r="DI78" s="266"/>
      <c r="DJ78" s="266"/>
      <c r="DK78" s="266"/>
      <c r="DL78" s="266"/>
      <c r="DM78" s="266"/>
      <c r="DN78" s="266"/>
      <c r="DO78" s="266"/>
    </row>
    <row r="79" spans="1:119" s="7" customFormat="1" ht="11.25" customHeight="1">
      <c r="A79" s="495"/>
      <c r="B79" s="497"/>
      <c r="C79" s="496"/>
      <c r="D79" s="495"/>
      <c r="E79" s="545"/>
      <c r="F79" s="544"/>
      <c r="G79" s="1147"/>
      <c r="H79" s="1148"/>
      <c r="I79" s="1148"/>
      <c r="J79" s="1148"/>
      <c r="K79" s="1148"/>
      <c r="L79" s="1148"/>
      <c r="M79" s="1148"/>
      <c r="N79" s="1149"/>
      <c r="O79" s="1136">
        <f>IF(AN19=1,"",IF(AN11=1,"",ZRB!G87*100))</f>
      </c>
      <c r="P79" s="1137"/>
      <c r="Q79" s="1137"/>
      <c r="R79" s="1137"/>
      <c r="S79" s="1138"/>
      <c r="T79" s="546"/>
      <c r="U79" s="275"/>
      <c r="V79" s="166"/>
      <c r="W79" s="166"/>
      <c r="X79" s="166"/>
      <c r="Y79" s="166"/>
      <c r="Z79" s="166"/>
      <c r="AA79" s="166"/>
      <c r="AB79" s="166"/>
      <c r="AC79" s="166"/>
      <c r="AD79" s="166"/>
      <c r="AE79" s="166"/>
      <c r="AF79" s="166"/>
      <c r="AG79" s="166"/>
      <c r="AH79" s="166"/>
      <c r="AI79" s="166"/>
      <c r="AJ79" s="166"/>
      <c r="AK79" s="166"/>
      <c r="AL79" s="266"/>
      <c r="AM79" s="266"/>
      <c r="AN79" s="345"/>
      <c r="AO79" s="448"/>
      <c r="AP79" s="251" t="s">
        <v>277</v>
      </c>
      <c r="AQ79" s="251"/>
      <c r="AR79" s="251"/>
      <c r="AS79" s="251"/>
      <c r="AT79" s="251"/>
      <c r="AU79" s="251"/>
      <c r="AV79" s="251"/>
      <c r="AW79" s="490" t="str">
        <f>"(Info: "&amp;ZRB!I76*100&amp;"% = "&amp;ZRB!I77&amp;" Euro)"</f>
        <v>(Info: 0,3% = 0 Euro)</v>
      </c>
      <c r="AX79" s="268" t="s">
        <v>307</v>
      </c>
      <c r="AY79" s="954"/>
      <c r="AZ79" s="954"/>
      <c r="BA79" s="347"/>
      <c r="BB79" s="266"/>
      <c r="BC79" s="266"/>
      <c r="BD79" s="266"/>
      <c r="BE79" s="266"/>
      <c r="BF79" s="266"/>
      <c r="BG79" s="266"/>
      <c r="BH79" s="266"/>
      <c r="BI79" s="266"/>
      <c r="BJ79" s="266"/>
      <c r="BK79" s="266"/>
      <c r="BL79" s="266"/>
      <c r="BM79" s="266"/>
      <c r="BN79" s="266"/>
      <c r="BO79" s="266"/>
      <c r="BP79" s="266"/>
      <c r="BQ79" s="266"/>
      <c r="BR79" s="266"/>
      <c r="BS79" s="266"/>
      <c r="BT79" s="274"/>
      <c r="BU79" s="830"/>
      <c r="BV79" s="834"/>
      <c r="BW79" s="261">
        <f>IF(OR(BU17=1,BU19=1),"",IF(ZRB!G107&gt;0,"&gt;&gt; bis 31.12.2015  ("&amp;ZRB!E107*100&amp;"%)",""))</f>
      </c>
      <c r="BX79" s="261"/>
      <c r="BY79" s="261"/>
      <c r="BZ79" s="261"/>
      <c r="CA79" s="261"/>
      <c r="CB79" s="261"/>
      <c r="CC79" s="261"/>
      <c r="CD79" s="261"/>
      <c r="CE79" s="1013">
        <f>IF(OR(BU17=1,BU19=1),"",ZRB!F107*100)</f>
      </c>
      <c r="CF79" s="1013"/>
      <c r="CG79" s="1013"/>
      <c r="CH79" s="1013"/>
      <c r="CI79" s="835"/>
      <c r="CJ79" s="274"/>
      <c r="CK79" s="266"/>
      <c r="CL79" s="266"/>
      <c r="CM79" s="592"/>
      <c r="CN79" s="1048">
        <f>IF(AN19=1,"",IF(AN11=1,"",""&amp;ROUND(ZRB!G102,3)*100&amp;" Cent/kWh"))</f>
      </c>
      <c r="CO79" s="1048"/>
      <c r="CP79" s="1048"/>
      <c r="CQ79" s="1048"/>
      <c r="CR79" s="1009">
        <f>IF(AN19=1,"",IF(AN11=1,"","("&amp;ROUND(ZRB!G101,4)&amp;" -  "&amp;ROUND(ZRB!G113,4)&amp;" €/kWh)"))</f>
      </c>
      <c r="CS79" s="1009"/>
      <c r="CT79" s="1009"/>
      <c r="CU79" s="1009"/>
      <c r="CV79" s="1009"/>
      <c r="CW79" s="1014">
        <f>IF(AN19=1,"",IF(AN11=1,"","bzw. rd. "&amp;ROUNDDOWN(ZRB!G103,-1)&amp;" €/Jahr"))</f>
      </c>
      <c r="CX79" s="1014"/>
      <c r="CY79" s="1014"/>
      <c r="CZ79" s="1014"/>
      <c r="DA79" s="1014"/>
      <c r="DB79" s="593"/>
      <c r="DC79" s="266"/>
      <c r="DD79" s="266"/>
      <c r="DE79" s="266"/>
      <c r="DF79" s="266"/>
      <c r="DG79" s="266"/>
      <c r="DH79" s="266"/>
      <c r="DI79" s="266"/>
      <c r="DJ79" s="266"/>
      <c r="DK79" s="266"/>
      <c r="DL79" s="266"/>
      <c r="DM79" s="266"/>
      <c r="DN79" s="266"/>
      <c r="DO79" s="266"/>
    </row>
    <row r="80" spans="1:119" s="7" customFormat="1" ht="2.25" customHeight="1">
      <c r="A80" s="495"/>
      <c r="B80" s="495"/>
      <c r="C80" s="495"/>
      <c r="D80" s="495"/>
      <c r="E80" s="544"/>
      <c r="F80" s="544"/>
      <c r="G80" s="1147"/>
      <c r="H80" s="1148"/>
      <c r="I80" s="1148"/>
      <c r="J80" s="1148"/>
      <c r="K80" s="1148"/>
      <c r="L80" s="1148"/>
      <c r="M80" s="1148"/>
      <c r="N80" s="1149"/>
      <c r="O80" s="1136"/>
      <c r="P80" s="1137"/>
      <c r="Q80" s="1137"/>
      <c r="R80" s="1137"/>
      <c r="S80" s="1138"/>
      <c r="T80" s="546"/>
      <c r="U80" s="275"/>
      <c r="V80" s="166"/>
      <c r="W80" s="166"/>
      <c r="X80" s="166"/>
      <c r="Y80" s="166"/>
      <c r="Z80" s="166"/>
      <c r="AA80" s="166"/>
      <c r="AB80" s="166"/>
      <c r="AC80" s="166"/>
      <c r="AD80" s="166"/>
      <c r="AE80" s="166"/>
      <c r="AF80" s="166"/>
      <c r="AG80" s="166"/>
      <c r="AH80" s="166"/>
      <c r="AI80" s="166"/>
      <c r="AJ80" s="166"/>
      <c r="AK80" s="166"/>
      <c r="AL80" s="266"/>
      <c r="AM80" s="166"/>
      <c r="AN80" s="345"/>
      <c r="AO80" s="448"/>
      <c r="AP80" s="260"/>
      <c r="AQ80" s="434"/>
      <c r="AR80" s="426"/>
      <c r="AS80" s="426"/>
      <c r="AT80" s="426"/>
      <c r="AU80" s="426"/>
      <c r="AV80" s="426"/>
      <c r="AW80" s="253"/>
      <c r="AX80" s="256"/>
      <c r="AY80" s="272"/>
      <c r="AZ80" s="272"/>
      <c r="BA80" s="347"/>
      <c r="BB80" s="266"/>
      <c r="BC80" s="266"/>
      <c r="BD80" s="266"/>
      <c r="BE80" s="266"/>
      <c r="BF80" s="266"/>
      <c r="BG80" s="266"/>
      <c r="BH80" s="266"/>
      <c r="BI80" s="266"/>
      <c r="BJ80" s="266"/>
      <c r="BK80" s="266"/>
      <c r="BL80" s="266"/>
      <c r="BM80" s="266"/>
      <c r="BN80" s="266"/>
      <c r="BO80" s="266"/>
      <c r="BP80" s="266"/>
      <c r="BQ80" s="266"/>
      <c r="BR80" s="266"/>
      <c r="BS80" s="266"/>
      <c r="BT80" s="274"/>
      <c r="BU80" s="830"/>
      <c r="BV80" s="834"/>
      <c r="BW80" s="261"/>
      <c r="BX80" s="261"/>
      <c r="BY80" s="261"/>
      <c r="BZ80" s="261"/>
      <c r="CA80" s="261"/>
      <c r="CB80" s="261"/>
      <c r="CC80" s="261"/>
      <c r="CD80" s="261"/>
      <c r="CE80" s="261"/>
      <c r="CF80" s="261"/>
      <c r="CG80" s="261"/>
      <c r="CH80" s="261"/>
      <c r="CI80" s="835"/>
      <c r="CJ80" s="274"/>
      <c r="CK80" s="266"/>
      <c r="CL80" s="266"/>
      <c r="CM80" s="592"/>
      <c r="CN80" s="1048"/>
      <c r="CO80" s="1048"/>
      <c r="CP80" s="1048"/>
      <c r="CQ80" s="1048"/>
      <c r="CR80" s="1009"/>
      <c r="CS80" s="1009"/>
      <c r="CT80" s="1009"/>
      <c r="CU80" s="1009"/>
      <c r="CV80" s="1009"/>
      <c r="CW80" s="1014"/>
      <c r="CX80" s="1014"/>
      <c r="CY80" s="1014"/>
      <c r="CZ80" s="1014"/>
      <c r="DA80" s="1014"/>
      <c r="DB80" s="593"/>
      <c r="DC80" s="266"/>
      <c r="DD80" s="166"/>
      <c r="DE80" s="166"/>
      <c r="DF80" s="166"/>
      <c r="DG80" s="166"/>
      <c r="DH80" s="166"/>
      <c r="DI80" s="166"/>
      <c r="DJ80" s="166"/>
      <c r="DK80" s="166"/>
      <c r="DL80" s="166"/>
      <c r="DM80" s="166"/>
      <c r="DN80" s="166"/>
      <c r="DO80" s="166"/>
    </row>
    <row r="81" spans="1:119" s="7" customFormat="1" ht="11.25" customHeight="1">
      <c r="A81" s="495"/>
      <c r="B81" s="495"/>
      <c r="C81" s="495"/>
      <c r="D81" s="495"/>
      <c r="E81" s="544"/>
      <c r="F81" s="544"/>
      <c r="G81" s="1147"/>
      <c r="H81" s="1148"/>
      <c r="I81" s="1148"/>
      <c r="J81" s="1148"/>
      <c r="K81" s="1148"/>
      <c r="L81" s="1148"/>
      <c r="M81" s="1148"/>
      <c r="N81" s="1149"/>
      <c r="O81" s="1139">
        <f>IF(P13&gt;E15,"keine Berechnung !",IF(AN11=1,"",ZRB!G112*100))</f>
      </c>
      <c r="P81" s="1140"/>
      <c r="Q81" s="1140"/>
      <c r="R81" s="1140"/>
      <c r="S81" s="1141"/>
      <c r="T81" s="546"/>
      <c r="U81" s="275"/>
      <c r="V81" s="166"/>
      <c r="W81" s="166"/>
      <c r="X81" s="166"/>
      <c r="Y81" s="166"/>
      <c r="Z81" s="166"/>
      <c r="AA81" s="166"/>
      <c r="AB81" s="166"/>
      <c r="AC81" s="166"/>
      <c r="AD81" s="166"/>
      <c r="AE81" s="166"/>
      <c r="AF81" s="166"/>
      <c r="AG81" s="166"/>
      <c r="AH81" s="166"/>
      <c r="AI81" s="166"/>
      <c r="AJ81" s="166"/>
      <c r="AK81" s="166"/>
      <c r="AL81" s="266"/>
      <c r="AM81" s="166"/>
      <c r="AN81" s="461"/>
      <c r="AO81" s="448"/>
      <c r="AP81" s="969" t="s">
        <v>311</v>
      </c>
      <c r="AQ81" s="969"/>
      <c r="AR81" s="969"/>
      <c r="AS81" s="969"/>
      <c r="AT81" s="969"/>
      <c r="AU81" s="969"/>
      <c r="AV81" s="969"/>
      <c r="AW81" s="253"/>
      <c r="AX81" s="268" t="s">
        <v>58</v>
      </c>
      <c r="AY81" s="954"/>
      <c r="AZ81" s="954"/>
      <c r="BA81" s="347"/>
      <c r="BB81" s="266"/>
      <c r="BC81" s="266"/>
      <c r="BD81" s="266"/>
      <c r="BE81" s="266"/>
      <c r="BF81" s="266"/>
      <c r="BG81" s="266"/>
      <c r="BH81" s="266"/>
      <c r="BI81" s="266"/>
      <c r="BJ81" s="266"/>
      <c r="BK81" s="266"/>
      <c r="BL81" s="266"/>
      <c r="BM81" s="266"/>
      <c r="BN81" s="266"/>
      <c r="BO81" s="266"/>
      <c r="BP81" s="266"/>
      <c r="BQ81" s="266"/>
      <c r="BR81" s="266"/>
      <c r="BS81" s="266"/>
      <c r="BT81" s="274"/>
      <c r="BU81" s="830"/>
      <c r="BV81" s="834"/>
      <c r="BW81" s="851">
        <f>IF(ZRB!G111&gt;0,"durchschnittliche Höhe der anteiligen EEG-Umlage:","")</f>
      </c>
      <c r="BX81" s="851"/>
      <c r="BY81" s="851"/>
      <c r="BZ81" s="851"/>
      <c r="CA81" s="851"/>
      <c r="CB81" s="851"/>
      <c r="CC81" s="851"/>
      <c r="CD81" s="851"/>
      <c r="CE81" s="1135">
        <f>IF(OR(BU17=1,BU19=1),"",ZRB!G112*100)</f>
      </c>
      <c r="CF81" s="1135"/>
      <c r="CG81" s="1135"/>
      <c r="CH81" s="1135"/>
      <c r="CI81" s="835"/>
      <c r="CJ81" s="274"/>
      <c r="CK81" s="266"/>
      <c r="CL81" s="266"/>
      <c r="CM81" s="592"/>
      <c r="CN81" s="1048"/>
      <c r="CO81" s="1048"/>
      <c r="CP81" s="1048"/>
      <c r="CQ81" s="1048"/>
      <c r="CR81" s="1009"/>
      <c r="CS81" s="1009"/>
      <c r="CT81" s="1009"/>
      <c r="CU81" s="1009"/>
      <c r="CV81" s="1009"/>
      <c r="CW81" s="1014"/>
      <c r="CX81" s="1014"/>
      <c r="CY81" s="1014"/>
      <c r="CZ81" s="1014"/>
      <c r="DA81" s="1014"/>
      <c r="DB81" s="593"/>
      <c r="DC81" s="266"/>
      <c r="DD81" s="166"/>
      <c r="DE81" s="166"/>
      <c r="DF81" s="166"/>
      <c r="DG81" s="166"/>
      <c r="DH81" s="166"/>
      <c r="DI81" s="166"/>
      <c r="DJ81" s="166"/>
      <c r="DK81" s="166"/>
      <c r="DL81" s="166"/>
      <c r="DM81" s="166"/>
      <c r="DN81" s="166"/>
      <c r="DO81" s="166"/>
    </row>
    <row r="82" spans="1:119" s="7" customFormat="1" ht="2.25" customHeight="1">
      <c r="A82" s="495"/>
      <c r="B82" s="495"/>
      <c r="C82" s="495"/>
      <c r="D82" s="495"/>
      <c r="E82" s="544"/>
      <c r="F82" s="544"/>
      <c r="G82" s="1147"/>
      <c r="H82" s="1148"/>
      <c r="I82" s="1148"/>
      <c r="J82" s="1148"/>
      <c r="K82" s="1148"/>
      <c r="L82" s="1148"/>
      <c r="M82" s="1148"/>
      <c r="N82" s="1149"/>
      <c r="O82" s="1153">
        <f>IF(P13&gt;E15,"",IF(AN11=1,"",ZRB!G113*100))</f>
      </c>
      <c r="P82" s="1154"/>
      <c r="Q82" s="1154"/>
      <c r="R82" s="1154"/>
      <c r="S82" s="1155"/>
      <c r="T82" s="546"/>
      <c r="U82" s="275"/>
      <c r="V82" s="166"/>
      <c r="W82" s="166"/>
      <c r="X82" s="166"/>
      <c r="Y82" s="166"/>
      <c r="Z82" s="166"/>
      <c r="AA82" s="166"/>
      <c r="AB82" s="166"/>
      <c r="AC82" s="166"/>
      <c r="AD82" s="166"/>
      <c r="AE82" s="166"/>
      <c r="AF82" s="166"/>
      <c r="AG82" s="166"/>
      <c r="AH82" s="166"/>
      <c r="AI82" s="166"/>
      <c r="AJ82" s="166"/>
      <c r="AK82" s="166"/>
      <c r="AL82" s="266"/>
      <c r="AM82" s="166"/>
      <c r="AN82" s="345"/>
      <c r="AO82" s="449"/>
      <c r="AP82" s="283"/>
      <c r="AQ82" s="283"/>
      <c r="AR82" s="283"/>
      <c r="AS82" s="283"/>
      <c r="AT82" s="283"/>
      <c r="AU82" s="283"/>
      <c r="AV82" s="283"/>
      <c r="AW82" s="283"/>
      <c r="AX82" s="283"/>
      <c r="AY82" s="283"/>
      <c r="AZ82" s="283"/>
      <c r="BA82" s="415"/>
      <c r="BB82" s="266"/>
      <c r="BC82" s="266"/>
      <c r="BD82" s="266"/>
      <c r="BE82" s="266"/>
      <c r="BF82" s="266"/>
      <c r="BG82" s="266"/>
      <c r="BH82" s="266"/>
      <c r="BI82" s="266"/>
      <c r="BJ82" s="266"/>
      <c r="BK82" s="266"/>
      <c r="BL82" s="266"/>
      <c r="BM82" s="266"/>
      <c r="BN82" s="266"/>
      <c r="BO82" s="266"/>
      <c r="BP82" s="266"/>
      <c r="BQ82" s="266"/>
      <c r="BR82" s="266"/>
      <c r="BS82" s="266"/>
      <c r="BT82" s="274"/>
      <c r="BU82" s="830"/>
      <c r="BV82" s="834"/>
      <c r="BW82" s="261"/>
      <c r="BX82" s="261"/>
      <c r="BY82" s="261"/>
      <c r="BZ82" s="261"/>
      <c r="CA82" s="261"/>
      <c r="CB82" s="261"/>
      <c r="CC82" s="261"/>
      <c r="CD82" s="261"/>
      <c r="CE82" s="261"/>
      <c r="CF82" s="261"/>
      <c r="CG82" s="261"/>
      <c r="CH82" s="261"/>
      <c r="CI82" s="835"/>
      <c r="CJ82" s="274"/>
      <c r="CK82" s="266"/>
      <c r="CL82" s="266"/>
      <c r="CM82" s="592"/>
      <c r="CN82" s="721"/>
      <c r="CO82" s="721"/>
      <c r="CP82" s="721"/>
      <c r="CQ82" s="721"/>
      <c r="CR82" s="721"/>
      <c r="CS82" s="486"/>
      <c r="CT82" s="486"/>
      <c r="CU82" s="486"/>
      <c r="CV82" s="486"/>
      <c r="CW82" s="721"/>
      <c r="CX82" s="721"/>
      <c r="CY82" s="721"/>
      <c r="CZ82" s="721"/>
      <c r="DA82" s="721"/>
      <c r="DB82" s="593"/>
      <c r="DC82" s="266"/>
      <c r="DD82" s="166"/>
      <c r="DE82" s="166"/>
      <c r="DF82" s="166"/>
      <c r="DG82" s="166"/>
      <c r="DH82" s="166"/>
      <c r="DI82" s="166"/>
      <c r="DJ82" s="166"/>
      <c r="DK82" s="166"/>
      <c r="DL82" s="166"/>
      <c r="DM82" s="166"/>
      <c r="DN82" s="166"/>
      <c r="DO82" s="166"/>
    </row>
    <row r="83" spans="1:119" s="7" customFormat="1" ht="11.25" customHeight="1">
      <c r="A83" s="1094" t="s">
        <v>340</v>
      </c>
      <c r="B83" s="1094"/>
      <c r="C83" s="1094"/>
      <c r="D83" s="1094"/>
      <c r="E83" s="544"/>
      <c r="F83" s="544"/>
      <c r="G83" s="1147"/>
      <c r="H83" s="1148"/>
      <c r="I83" s="1148"/>
      <c r="J83" s="1148"/>
      <c r="K83" s="1148"/>
      <c r="L83" s="1148"/>
      <c r="M83" s="1148"/>
      <c r="N83" s="1149"/>
      <c r="O83" s="1153"/>
      <c r="P83" s="1154"/>
      <c r="Q83" s="1154"/>
      <c r="R83" s="1154"/>
      <c r="S83" s="1155"/>
      <c r="T83" s="546"/>
      <c r="U83" s="275"/>
      <c r="V83" s="166"/>
      <c r="W83" s="166"/>
      <c r="X83" s="166"/>
      <c r="Y83" s="166"/>
      <c r="Z83" s="166"/>
      <c r="AA83" s="166"/>
      <c r="AB83" s="166"/>
      <c r="AC83" s="166"/>
      <c r="AD83" s="166"/>
      <c r="AE83" s="166"/>
      <c r="AF83" s="166"/>
      <c r="AG83" s="166"/>
      <c r="AH83" s="166"/>
      <c r="AI83" s="166"/>
      <c r="AJ83" s="166"/>
      <c r="AK83" s="166"/>
      <c r="AL83" s="266"/>
      <c r="AM83" s="166"/>
      <c r="AN83" s="166"/>
      <c r="AO83" s="166"/>
      <c r="AP83" s="166"/>
      <c r="AQ83" s="166"/>
      <c r="AR83" s="166"/>
      <c r="AS83" s="166"/>
      <c r="AT83" s="166"/>
      <c r="AU83" s="166"/>
      <c r="AV83" s="166"/>
      <c r="AW83" s="166"/>
      <c r="AX83" s="166"/>
      <c r="AY83" s="166"/>
      <c r="AZ83" s="166"/>
      <c r="BA83" s="166"/>
      <c r="BB83" s="266"/>
      <c r="BC83" s="266"/>
      <c r="BD83" s="266"/>
      <c r="BE83" s="266"/>
      <c r="BF83" s="266"/>
      <c r="BG83" s="266"/>
      <c r="BH83" s="266"/>
      <c r="BI83" s="266"/>
      <c r="BJ83" s="266"/>
      <c r="BK83" s="266"/>
      <c r="BL83" s="266"/>
      <c r="BM83" s="266"/>
      <c r="BN83" s="266"/>
      <c r="BO83" s="266"/>
      <c r="BP83" s="266"/>
      <c r="BQ83" s="266"/>
      <c r="BR83" s="266"/>
      <c r="BS83" s="266"/>
      <c r="BT83" s="274"/>
      <c r="BU83" s="830"/>
      <c r="BV83" s="848"/>
      <c r="BW83" s="849"/>
      <c r="BX83" s="849"/>
      <c r="BY83" s="849"/>
      <c r="BZ83" s="849"/>
      <c r="CA83" s="849"/>
      <c r="CB83" s="849"/>
      <c r="CC83" s="849"/>
      <c r="CD83" s="849"/>
      <c r="CE83" s="849"/>
      <c r="CF83" s="849"/>
      <c r="CG83" s="849"/>
      <c r="CH83" s="849"/>
      <c r="CI83" s="850"/>
      <c r="CJ83" s="274"/>
      <c r="CK83" s="266"/>
      <c r="CL83" s="266"/>
      <c r="CM83" s="594"/>
      <c r="CN83" s="595"/>
      <c r="CO83" s="595"/>
      <c r="CP83" s="595"/>
      <c r="CQ83" s="595"/>
      <c r="CR83" s="595"/>
      <c r="CS83" s="595"/>
      <c r="CT83" s="595"/>
      <c r="CU83" s="595"/>
      <c r="CV83" s="595"/>
      <c r="CW83" s="595"/>
      <c r="CX83" s="595"/>
      <c r="CY83" s="595"/>
      <c r="CZ83" s="595"/>
      <c r="DA83" s="595"/>
      <c r="DB83" s="596"/>
      <c r="DC83" s="266"/>
      <c r="DD83" s="166"/>
      <c r="DE83" s="166"/>
      <c r="DF83" s="166"/>
      <c r="DG83" s="166"/>
      <c r="DH83" s="166"/>
      <c r="DI83" s="166"/>
      <c r="DJ83" s="166"/>
      <c r="DK83" s="166"/>
      <c r="DL83" s="166"/>
      <c r="DM83" s="166"/>
      <c r="DN83" s="166"/>
      <c r="DO83" s="166"/>
    </row>
    <row r="84" spans="1:119" s="7" customFormat="1" ht="2.25" customHeight="1" thickBot="1">
      <c r="A84" s="495"/>
      <c r="B84" s="495"/>
      <c r="C84" s="495"/>
      <c r="D84" s="495"/>
      <c r="E84" s="544"/>
      <c r="F84" s="544"/>
      <c r="G84" s="1150"/>
      <c r="H84" s="1151"/>
      <c r="I84" s="1151"/>
      <c r="J84" s="1151"/>
      <c r="K84" s="1151"/>
      <c r="L84" s="1151"/>
      <c r="M84" s="1151"/>
      <c r="N84" s="1152"/>
      <c r="O84" s="1156"/>
      <c r="P84" s="1157"/>
      <c r="Q84" s="1157"/>
      <c r="R84" s="1157"/>
      <c r="S84" s="1158"/>
      <c r="T84" s="546"/>
      <c r="U84" s="275"/>
      <c r="V84" s="166"/>
      <c r="W84" s="166"/>
      <c r="X84" s="166"/>
      <c r="Y84" s="166"/>
      <c r="Z84" s="166"/>
      <c r="AA84" s="166"/>
      <c r="AB84" s="166"/>
      <c r="AC84" s="166"/>
      <c r="AD84" s="166"/>
      <c r="AE84" s="166"/>
      <c r="AF84" s="166"/>
      <c r="AG84" s="166"/>
      <c r="AH84" s="166"/>
      <c r="AI84" s="166"/>
      <c r="AJ84" s="166"/>
      <c r="AK84" s="166"/>
      <c r="AL84" s="266"/>
      <c r="AM84" s="166"/>
      <c r="AN84" s="166"/>
      <c r="AO84" s="166"/>
      <c r="AP84" s="166"/>
      <c r="AQ84" s="166"/>
      <c r="AR84" s="166"/>
      <c r="AS84" s="166"/>
      <c r="AT84" s="166"/>
      <c r="AU84" s="166"/>
      <c r="AV84" s="166"/>
      <c r="AW84" s="166"/>
      <c r="AX84" s="166"/>
      <c r="AY84" s="166"/>
      <c r="AZ84" s="166"/>
      <c r="BA84" s="166"/>
      <c r="BB84" s="266"/>
      <c r="BC84" s="166"/>
      <c r="BD84" s="166"/>
      <c r="BE84" s="266"/>
      <c r="BF84" s="266"/>
      <c r="BG84" s="266"/>
      <c r="BH84" s="266"/>
      <c r="BI84" s="266"/>
      <c r="BJ84" s="266"/>
      <c r="BK84" s="266"/>
      <c r="BL84" s="266"/>
      <c r="BM84" s="266"/>
      <c r="BN84" s="266"/>
      <c r="BO84" s="266"/>
      <c r="BP84" s="266"/>
      <c r="BQ84" s="266"/>
      <c r="BR84" s="266"/>
      <c r="BS84" s="266"/>
      <c r="BT84" s="274"/>
      <c r="BU84" s="830"/>
      <c r="BV84" s="261"/>
      <c r="BW84" s="261"/>
      <c r="BX84" s="261"/>
      <c r="BY84" s="261"/>
      <c r="BZ84" s="261"/>
      <c r="CA84" s="261"/>
      <c r="CB84" s="261"/>
      <c r="CC84" s="261"/>
      <c r="CD84" s="261"/>
      <c r="CE84" s="261"/>
      <c r="CF84" s="261"/>
      <c r="CG84" s="261"/>
      <c r="CH84" s="261"/>
      <c r="CI84" s="261"/>
      <c r="CJ84" s="274"/>
      <c r="CK84" s="166"/>
      <c r="CL84" s="166"/>
      <c r="CM84" s="166"/>
      <c r="CN84" s="166"/>
      <c r="CO84" s="166"/>
      <c r="CP84" s="166"/>
      <c r="CQ84" s="166"/>
      <c r="CR84" s="166"/>
      <c r="CS84" s="166"/>
      <c r="CT84" s="166"/>
      <c r="CU84" s="166"/>
      <c r="CV84" s="166"/>
      <c r="CW84" s="166"/>
      <c r="CX84" s="166"/>
      <c r="CY84" s="166"/>
      <c r="CZ84" s="166"/>
      <c r="DA84" s="166"/>
      <c r="DB84" s="166"/>
      <c r="DC84" s="266"/>
      <c r="DD84" s="166"/>
      <c r="DE84" s="166"/>
      <c r="DF84" s="166"/>
      <c r="DG84" s="166"/>
      <c r="DH84" s="166"/>
      <c r="DI84" s="166"/>
      <c r="DJ84" s="166"/>
      <c r="DK84" s="166"/>
      <c r="DL84" s="166"/>
      <c r="DM84" s="166"/>
      <c r="DN84" s="166"/>
      <c r="DO84" s="166"/>
    </row>
    <row r="85" spans="1:119" s="7" customFormat="1" ht="11.25" customHeight="1" thickTop="1">
      <c r="A85" s="496"/>
      <c r="B85" s="496"/>
      <c r="C85" s="496"/>
      <c r="D85" s="496"/>
      <c r="E85" s="544"/>
      <c r="F85" s="544"/>
      <c r="G85" s="544"/>
      <c r="H85" s="544"/>
      <c r="I85" s="544"/>
      <c r="J85" s="544"/>
      <c r="K85" s="544"/>
      <c r="L85" s="544"/>
      <c r="M85" s="544"/>
      <c r="N85" s="544"/>
      <c r="O85" s="544"/>
      <c r="P85" s="544"/>
      <c r="Q85" s="544"/>
      <c r="R85" s="544"/>
      <c r="S85" s="659" t="s">
        <v>340</v>
      </c>
      <c r="T85" s="544"/>
      <c r="U85" s="275"/>
      <c r="V85" s="166"/>
      <c r="W85" s="166"/>
      <c r="X85" s="166"/>
      <c r="Y85" s="166"/>
      <c r="Z85" s="166"/>
      <c r="AA85" s="166"/>
      <c r="AB85" s="166"/>
      <c r="AC85" s="166"/>
      <c r="AD85" s="166"/>
      <c r="AE85" s="166"/>
      <c r="AF85" s="166"/>
      <c r="AG85" s="166"/>
      <c r="AH85" s="166"/>
      <c r="AI85" s="166"/>
      <c r="AJ85" s="166"/>
      <c r="AK85" s="166"/>
      <c r="AL85" s="266"/>
      <c r="AM85" s="166"/>
      <c r="AN85" s="166"/>
      <c r="AO85" s="166"/>
      <c r="AP85" s="166"/>
      <c r="AQ85" s="166"/>
      <c r="AR85" s="166"/>
      <c r="AS85" s="166"/>
      <c r="AT85" s="166"/>
      <c r="AU85" s="166"/>
      <c r="AV85" s="166"/>
      <c r="AW85" s="166"/>
      <c r="AX85" s="166"/>
      <c r="AY85" s="166"/>
      <c r="AZ85" s="166"/>
      <c r="BA85" s="166"/>
      <c r="BB85" s="266"/>
      <c r="BC85" s="166"/>
      <c r="BD85" s="166"/>
      <c r="BE85" s="266"/>
      <c r="BF85" s="266"/>
      <c r="BG85" s="266"/>
      <c r="BH85" s="266"/>
      <c r="BI85" s="266"/>
      <c r="BJ85" s="266"/>
      <c r="BK85" s="266"/>
      <c r="BL85" s="266"/>
      <c r="BM85" s="266"/>
      <c r="BN85" s="266"/>
      <c r="BO85" s="266"/>
      <c r="BP85" s="266"/>
      <c r="BQ85" s="266"/>
      <c r="BR85" s="266"/>
      <c r="BS85" s="266"/>
      <c r="BT85" s="274"/>
      <c r="BU85" s="830"/>
      <c r="BV85" s="261"/>
      <c r="BW85" s="261"/>
      <c r="BX85" s="261"/>
      <c r="BY85" s="261"/>
      <c r="BZ85" s="261"/>
      <c r="CA85" s="261"/>
      <c r="CB85" s="261"/>
      <c r="CC85" s="261"/>
      <c r="CD85" s="261"/>
      <c r="CE85" s="261"/>
      <c r="CF85" s="261"/>
      <c r="CG85" s="261"/>
      <c r="CH85" s="261"/>
      <c r="CI85" s="261"/>
      <c r="CJ85" s="274"/>
      <c r="CK85" s="166"/>
      <c r="CL85" s="166"/>
      <c r="CM85" s="166"/>
      <c r="CN85" s="166"/>
      <c r="CO85" s="166"/>
      <c r="CP85" s="166"/>
      <c r="CQ85" s="166"/>
      <c r="CR85" s="166"/>
      <c r="CS85" s="166"/>
      <c r="CT85" s="166"/>
      <c r="CU85" s="166"/>
      <c r="CV85" s="166"/>
      <c r="CW85" s="166"/>
      <c r="CX85" s="166"/>
      <c r="CY85" s="166"/>
      <c r="CZ85" s="166"/>
      <c r="DA85" s="166"/>
      <c r="DB85" s="166"/>
      <c r="DC85" s="266"/>
      <c r="DD85" s="166"/>
      <c r="DE85" s="166"/>
      <c r="DF85" s="166"/>
      <c r="DG85" s="166"/>
      <c r="DH85" s="166"/>
      <c r="DI85" s="166"/>
      <c r="DJ85" s="166"/>
      <c r="DK85" s="166"/>
      <c r="DL85" s="166"/>
      <c r="DM85" s="166"/>
      <c r="DN85" s="166"/>
      <c r="DO85" s="166"/>
    </row>
    <row r="86" spans="1:119" s="7" customFormat="1" ht="2.25" customHeight="1">
      <c r="A86" s="496"/>
      <c r="B86" s="496"/>
      <c r="C86" s="496"/>
      <c r="D86" s="496"/>
      <c r="E86" s="544"/>
      <c r="F86" s="544"/>
      <c r="G86" s="544"/>
      <c r="H86" s="544"/>
      <c r="I86" s="544"/>
      <c r="J86" s="544"/>
      <c r="K86" s="544"/>
      <c r="L86" s="544"/>
      <c r="M86" s="544"/>
      <c r="N86" s="544"/>
      <c r="O86" s="544"/>
      <c r="P86" s="544"/>
      <c r="Q86" s="544"/>
      <c r="R86" s="544"/>
      <c r="S86" s="659"/>
      <c r="T86" s="544"/>
      <c r="U86" s="275"/>
      <c r="V86" s="166"/>
      <c r="W86" s="166"/>
      <c r="X86" s="166"/>
      <c r="Y86" s="166"/>
      <c r="Z86" s="166"/>
      <c r="AA86" s="166"/>
      <c r="AB86" s="166"/>
      <c r="AC86" s="166"/>
      <c r="AD86" s="166"/>
      <c r="AE86" s="166"/>
      <c r="AF86" s="166"/>
      <c r="AG86" s="166"/>
      <c r="AH86" s="166"/>
      <c r="AI86" s="166"/>
      <c r="AJ86" s="166"/>
      <c r="AK86" s="166"/>
      <c r="AL86" s="266"/>
      <c r="AM86" s="166"/>
      <c r="AN86" s="166"/>
      <c r="AO86" s="166"/>
      <c r="AP86" s="166"/>
      <c r="AQ86" s="166"/>
      <c r="AR86" s="166"/>
      <c r="AS86" s="166"/>
      <c r="AT86" s="166"/>
      <c r="AU86" s="166"/>
      <c r="AV86" s="166"/>
      <c r="AW86" s="166"/>
      <c r="AX86" s="166"/>
      <c r="AY86" s="166"/>
      <c r="AZ86" s="166"/>
      <c r="BA86" s="166"/>
      <c r="BB86" s="266"/>
      <c r="BC86" s="166"/>
      <c r="BD86" s="166"/>
      <c r="BE86" s="266"/>
      <c r="BF86" s="266"/>
      <c r="BG86" s="266"/>
      <c r="BH86" s="266"/>
      <c r="BI86" s="266"/>
      <c r="BJ86" s="266"/>
      <c r="BK86" s="266"/>
      <c r="BL86" s="266"/>
      <c r="BM86" s="266"/>
      <c r="BN86" s="266"/>
      <c r="BO86" s="266"/>
      <c r="BP86" s="266"/>
      <c r="BQ86" s="266"/>
      <c r="BR86" s="266"/>
      <c r="BS86" s="266"/>
      <c r="BT86" s="274"/>
      <c r="BU86" s="830"/>
      <c r="BV86" s="274"/>
      <c r="BW86" s="274"/>
      <c r="BX86" s="274"/>
      <c r="BY86" s="274"/>
      <c r="BZ86" s="274"/>
      <c r="CA86" s="274"/>
      <c r="CB86" s="274"/>
      <c r="CC86" s="274"/>
      <c r="CD86" s="274"/>
      <c r="CE86" s="274"/>
      <c r="CF86" s="274"/>
      <c r="CG86" s="274"/>
      <c r="CH86" s="274"/>
      <c r="CI86" s="274"/>
      <c r="CJ86" s="274"/>
      <c r="CK86" s="166"/>
      <c r="CL86" s="166"/>
      <c r="CM86" s="166"/>
      <c r="CN86" s="166"/>
      <c r="CO86" s="166"/>
      <c r="CP86" s="166"/>
      <c r="CQ86" s="166"/>
      <c r="CR86" s="166"/>
      <c r="CS86" s="166"/>
      <c r="CT86" s="166"/>
      <c r="CU86" s="166"/>
      <c r="CV86" s="166"/>
      <c r="CW86" s="166"/>
      <c r="CX86" s="166"/>
      <c r="CY86" s="166"/>
      <c r="CZ86" s="166"/>
      <c r="DA86" s="166"/>
      <c r="DB86" s="166"/>
      <c r="DC86" s="266"/>
      <c r="DD86" s="166"/>
      <c r="DE86" s="166"/>
      <c r="DF86" s="166"/>
      <c r="DG86" s="166"/>
      <c r="DH86" s="166"/>
      <c r="DI86" s="166"/>
      <c r="DJ86" s="166"/>
      <c r="DK86" s="166"/>
      <c r="DL86" s="166"/>
      <c r="DM86" s="166"/>
      <c r="DN86" s="166"/>
      <c r="DO86" s="166"/>
    </row>
    <row r="87" spans="1:119" s="7" customFormat="1" ht="11.25" customHeight="1">
      <c r="A87" s="496"/>
      <c r="B87" s="496"/>
      <c r="C87" s="496"/>
      <c r="D87" s="496"/>
      <c r="E87" s="544"/>
      <c r="F87" s="544"/>
      <c r="G87" s="544"/>
      <c r="H87" s="544"/>
      <c r="I87" s="544"/>
      <c r="J87" s="544"/>
      <c r="K87" s="544"/>
      <c r="L87" s="544"/>
      <c r="M87" s="544"/>
      <c r="N87" s="544"/>
      <c r="O87" s="544"/>
      <c r="P87" s="544"/>
      <c r="Q87" s="544"/>
      <c r="R87" s="544"/>
      <c r="S87" s="544"/>
      <c r="T87" s="544"/>
      <c r="U87" s="275"/>
      <c r="V87" s="166"/>
      <c r="W87" s="166"/>
      <c r="X87" s="166"/>
      <c r="Y87" s="166"/>
      <c r="Z87" s="166"/>
      <c r="AA87" s="166"/>
      <c r="AB87" s="166"/>
      <c r="AC87" s="166"/>
      <c r="AD87" s="166"/>
      <c r="AE87" s="166"/>
      <c r="AF87" s="166"/>
      <c r="AG87" s="166"/>
      <c r="AH87" s="166"/>
      <c r="AI87" s="166"/>
      <c r="AJ87" s="166"/>
      <c r="AK87" s="166"/>
      <c r="AL87" s="266"/>
      <c r="AM87" s="166"/>
      <c r="AN87" s="166"/>
      <c r="AO87" s="166"/>
      <c r="AP87" s="166"/>
      <c r="AQ87" s="166"/>
      <c r="AR87" s="166"/>
      <c r="AS87" s="166"/>
      <c r="AT87" s="166"/>
      <c r="AU87" s="166"/>
      <c r="AV87" s="166"/>
      <c r="AW87" s="166"/>
      <c r="AX87" s="166"/>
      <c r="AY87" s="166"/>
      <c r="AZ87" s="166"/>
      <c r="BA87" s="166"/>
      <c r="BB87" s="266"/>
      <c r="BC87" s="166"/>
      <c r="BD87" s="166"/>
      <c r="BE87" s="266"/>
      <c r="BF87" s="266"/>
      <c r="BG87" s="266"/>
      <c r="BH87" s="266"/>
      <c r="BI87" s="266"/>
      <c r="BJ87" s="266"/>
      <c r="BK87" s="266"/>
      <c r="BL87" s="266"/>
      <c r="BM87" s="266"/>
      <c r="BN87" s="266"/>
      <c r="BO87" s="266"/>
      <c r="BP87" s="266"/>
      <c r="BQ87" s="266"/>
      <c r="BR87" s="266"/>
      <c r="BS87" s="266"/>
      <c r="BT87" s="274"/>
      <c r="BU87" s="830"/>
      <c r="BV87" s="274"/>
      <c r="BW87" s="274"/>
      <c r="BX87" s="274"/>
      <c r="BY87" s="274"/>
      <c r="BZ87" s="274"/>
      <c r="CA87" s="274"/>
      <c r="CB87" s="274"/>
      <c r="CC87" s="274"/>
      <c r="CD87" s="274"/>
      <c r="CE87" s="274"/>
      <c r="CF87" s="274"/>
      <c r="CG87" s="274"/>
      <c r="CH87" s="274"/>
      <c r="CI87" s="274"/>
      <c r="CJ87" s="274"/>
      <c r="CK87" s="166"/>
      <c r="CL87" s="166"/>
      <c r="CM87" s="166"/>
      <c r="CN87" s="166"/>
      <c r="CO87" s="166"/>
      <c r="CP87" s="166"/>
      <c r="CQ87" s="166"/>
      <c r="CR87" s="166"/>
      <c r="CS87" s="166"/>
      <c r="CT87" s="166"/>
      <c r="CU87" s="166"/>
      <c r="CV87" s="166"/>
      <c r="CW87" s="166"/>
      <c r="CX87" s="166"/>
      <c r="CY87" s="166"/>
      <c r="CZ87" s="166"/>
      <c r="DA87" s="166"/>
      <c r="DB87" s="166"/>
      <c r="DC87" s="266"/>
      <c r="DD87" s="166"/>
      <c r="DE87" s="166"/>
      <c r="DF87" s="166"/>
      <c r="DG87" s="166"/>
      <c r="DH87" s="166"/>
      <c r="DI87" s="166"/>
      <c r="DJ87" s="166"/>
      <c r="DK87" s="166"/>
      <c r="DL87" s="166"/>
      <c r="DM87" s="166"/>
      <c r="DN87" s="166"/>
      <c r="DO87" s="166"/>
    </row>
    <row r="88" spans="1:119" s="7" customFormat="1" ht="2.25" customHeight="1">
      <c r="A88" s="496"/>
      <c r="B88" s="496"/>
      <c r="C88" s="496"/>
      <c r="D88" s="496"/>
      <c r="E88" s="544"/>
      <c r="F88" s="544"/>
      <c r="G88" s="544"/>
      <c r="H88" s="544"/>
      <c r="I88" s="544"/>
      <c r="J88" s="544"/>
      <c r="K88" s="544"/>
      <c r="L88" s="544"/>
      <c r="M88" s="544"/>
      <c r="N88" s="544"/>
      <c r="O88" s="544"/>
      <c r="P88" s="544"/>
      <c r="Q88" s="544"/>
      <c r="R88" s="544"/>
      <c r="S88" s="544"/>
      <c r="T88" s="544"/>
      <c r="U88" s="275"/>
      <c r="V88" s="166"/>
      <c r="W88" s="166"/>
      <c r="X88" s="166"/>
      <c r="Y88" s="166"/>
      <c r="Z88" s="166"/>
      <c r="AA88" s="166"/>
      <c r="AB88" s="166"/>
      <c r="AC88" s="166"/>
      <c r="AD88" s="166"/>
      <c r="AE88" s="166"/>
      <c r="AF88" s="166"/>
      <c r="AG88" s="166"/>
      <c r="AH88" s="166"/>
      <c r="AI88" s="166"/>
      <c r="AJ88" s="166"/>
      <c r="AK88" s="166"/>
      <c r="AL88" s="266"/>
      <c r="AM88" s="166"/>
      <c r="AN88" s="166"/>
      <c r="AO88" s="166"/>
      <c r="AP88" s="166"/>
      <c r="AQ88" s="166"/>
      <c r="AR88" s="166"/>
      <c r="AS88" s="166"/>
      <c r="AT88" s="166"/>
      <c r="AU88" s="166"/>
      <c r="AV88" s="166"/>
      <c r="AW88" s="166"/>
      <c r="AX88" s="166"/>
      <c r="AY88" s="166"/>
      <c r="AZ88" s="166"/>
      <c r="BA88" s="166"/>
      <c r="BB88" s="266"/>
      <c r="BC88" s="166"/>
      <c r="BD88" s="166"/>
      <c r="BE88" s="266"/>
      <c r="BF88" s="266"/>
      <c r="BG88" s="266"/>
      <c r="BH88" s="266"/>
      <c r="BI88" s="266"/>
      <c r="BJ88" s="266"/>
      <c r="BK88" s="266"/>
      <c r="BL88" s="266"/>
      <c r="BM88" s="266"/>
      <c r="BN88" s="266"/>
      <c r="BO88" s="266"/>
      <c r="BP88" s="266"/>
      <c r="BQ88" s="266"/>
      <c r="BR88" s="266"/>
      <c r="BS88" s="266"/>
      <c r="BT88" s="274"/>
      <c r="BU88" s="830"/>
      <c r="BV88" s="274"/>
      <c r="BW88" s="274"/>
      <c r="BX88" s="274"/>
      <c r="BY88" s="274"/>
      <c r="BZ88" s="274"/>
      <c r="CA88" s="274"/>
      <c r="CB88" s="274"/>
      <c r="CC88" s="274"/>
      <c r="CD88" s="274"/>
      <c r="CE88" s="274"/>
      <c r="CF88" s="274"/>
      <c r="CG88" s="274"/>
      <c r="CH88" s="274"/>
      <c r="CI88" s="274"/>
      <c r="CJ88" s="274"/>
      <c r="CK88" s="166"/>
      <c r="CL88" s="166"/>
      <c r="CM88" s="166"/>
      <c r="CN88" s="166"/>
      <c r="CO88" s="166"/>
      <c r="CP88" s="166"/>
      <c r="CQ88" s="166"/>
      <c r="CR88" s="166"/>
      <c r="CS88" s="166"/>
      <c r="CT88" s="166"/>
      <c r="CU88" s="166"/>
      <c r="CV88" s="166"/>
      <c r="CW88" s="166"/>
      <c r="CX88" s="166"/>
      <c r="CY88" s="166"/>
      <c r="CZ88" s="166"/>
      <c r="DA88" s="166"/>
      <c r="DB88" s="166"/>
      <c r="DC88" s="266"/>
      <c r="DD88" s="166"/>
      <c r="DE88" s="166"/>
      <c r="DF88" s="166"/>
      <c r="DG88" s="166"/>
      <c r="DH88" s="166"/>
      <c r="DI88" s="166"/>
      <c r="DJ88" s="166"/>
      <c r="DK88" s="166"/>
      <c r="DL88" s="166"/>
      <c r="DM88" s="166"/>
      <c r="DN88" s="166"/>
      <c r="DO88" s="166"/>
    </row>
    <row r="89" spans="1:119" s="7" customFormat="1" ht="11.25" customHeight="1">
      <c r="A89" s="496"/>
      <c r="B89" s="496"/>
      <c r="C89" s="496"/>
      <c r="D89" s="496"/>
      <c r="E89" s="544"/>
      <c r="F89" s="544"/>
      <c r="G89" s="544"/>
      <c r="H89" s="544"/>
      <c r="I89" s="544"/>
      <c r="J89" s="544"/>
      <c r="K89" s="544"/>
      <c r="L89" s="544"/>
      <c r="M89" s="544"/>
      <c r="N89" s="544"/>
      <c r="O89" s="544"/>
      <c r="P89" s="544"/>
      <c r="Q89" s="544"/>
      <c r="R89" s="544"/>
      <c r="S89" s="544"/>
      <c r="T89" s="544"/>
      <c r="U89" s="275"/>
      <c r="V89" s="166"/>
      <c r="W89" s="166"/>
      <c r="X89" s="166"/>
      <c r="Y89" s="166"/>
      <c r="Z89" s="166"/>
      <c r="AA89" s="166"/>
      <c r="AB89" s="166"/>
      <c r="AC89" s="166"/>
      <c r="AD89" s="166"/>
      <c r="AE89" s="166"/>
      <c r="AF89" s="166"/>
      <c r="AG89" s="166"/>
      <c r="AH89" s="166"/>
      <c r="AI89" s="166"/>
      <c r="AJ89" s="166"/>
      <c r="AK89" s="166"/>
      <c r="AL89" s="266"/>
      <c r="AM89" s="166"/>
      <c r="AN89" s="166"/>
      <c r="AO89" s="166"/>
      <c r="AP89" s="166"/>
      <c r="AQ89" s="166"/>
      <c r="AR89" s="166"/>
      <c r="AS89" s="166"/>
      <c r="AT89" s="166"/>
      <c r="AU89" s="166"/>
      <c r="AV89" s="166"/>
      <c r="AW89" s="166"/>
      <c r="AX89" s="166"/>
      <c r="AY89" s="166"/>
      <c r="AZ89" s="166"/>
      <c r="BA89" s="166"/>
      <c r="BB89" s="266"/>
      <c r="BC89" s="166"/>
      <c r="BD89" s="166"/>
      <c r="BE89" s="266"/>
      <c r="BF89" s="266"/>
      <c r="BG89" s="266"/>
      <c r="BH89" s="266"/>
      <c r="BI89" s="266"/>
      <c r="BJ89" s="266"/>
      <c r="BK89" s="266"/>
      <c r="BL89" s="266"/>
      <c r="BM89" s="266"/>
      <c r="BN89" s="266"/>
      <c r="BO89" s="266"/>
      <c r="BP89" s="266"/>
      <c r="BQ89" s="266"/>
      <c r="BR89" s="266"/>
      <c r="BS89" s="266"/>
      <c r="BT89" s="274"/>
      <c r="BU89" s="830"/>
      <c r="BV89" s="274"/>
      <c r="BW89" s="274"/>
      <c r="BX89" s="274"/>
      <c r="BY89" s="274"/>
      <c r="BZ89" s="274"/>
      <c r="CA89" s="274"/>
      <c r="CB89" s="274"/>
      <c r="CC89" s="274"/>
      <c r="CD89" s="274"/>
      <c r="CE89" s="274"/>
      <c r="CF89" s="274"/>
      <c r="CG89" s="274"/>
      <c r="CH89" s="274"/>
      <c r="CI89" s="274"/>
      <c r="CJ89" s="274"/>
      <c r="CK89" s="166"/>
      <c r="CL89" s="166"/>
      <c r="CM89" s="166"/>
      <c r="CN89" s="166"/>
      <c r="CO89" s="166"/>
      <c r="CP89" s="166"/>
      <c r="CQ89" s="166"/>
      <c r="CR89" s="166"/>
      <c r="CS89" s="166"/>
      <c r="CT89" s="166"/>
      <c r="CU89" s="166"/>
      <c r="CV89" s="166"/>
      <c r="CW89" s="166"/>
      <c r="CX89" s="166"/>
      <c r="CY89" s="166"/>
      <c r="CZ89" s="166"/>
      <c r="DA89" s="166"/>
      <c r="DB89" s="166"/>
      <c r="DC89" s="266"/>
      <c r="DD89" s="166"/>
      <c r="DE89" s="166"/>
      <c r="DF89" s="166"/>
      <c r="DG89" s="166"/>
      <c r="DH89" s="166"/>
      <c r="DI89" s="166"/>
      <c r="DJ89" s="166"/>
      <c r="DK89" s="166"/>
      <c r="DL89" s="166"/>
      <c r="DM89" s="166"/>
      <c r="DN89" s="166"/>
      <c r="DO89" s="166"/>
    </row>
    <row r="90" spans="1:119" s="7" customFormat="1" ht="2.25" customHeight="1">
      <c r="A90" s="496"/>
      <c r="B90" s="496"/>
      <c r="C90" s="496"/>
      <c r="D90" s="496"/>
      <c r="E90" s="544"/>
      <c r="F90" s="544"/>
      <c r="G90" s="544"/>
      <c r="H90" s="544"/>
      <c r="I90" s="544"/>
      <c r="J90" s="544"/>
      <c r="K90" s="544"/>
      <c r="L90" s="544"/>
      <c r="M90" s="544"/>
      <c r="N90" s="544"/>
      <c r="O90" s="544"/>
      <c r="P90" s="544"/>
      <c r="Q90" s="544"/>
      <c r="R90" s="544"/>
      <c r="S90" s="544"/>
      <c r="T90" s="544"/>
      <c r="U90" s="275"/>
      <c r="V90" s="166"/>
      <c r="W90" s="166"/>
      <c r="X90" s="166"/>
      <c r="Y90" s="166"/>
      <c r="Z90" s="166"/>
      <c r="AA90" s="166"/>
      <c r="AB90" s="166"/>
      <c r="AC90" s="166"/>
      <c r="AD90" s="166"/>
      <c r="AE90" s="166"/>
      <c r="AF90" s="166"/>
      <c r="AG90" s="166"/>
      <c r="AH90" s="166"/>
      <c r="AI90" s="166"/>
      <c r="AJ90" s="166"/>
      <c r="AK90" s="166"/>
      <c r="AL90" s="266"/>
      <c r="AM90" s="166"/>
      <c r="AN90" s="166"/>
      <c r="AO90" s="166"/>
      <c r="AP90" s="166"/>
      <c r="AQ90" s="166"/>
      <c r="AR90" s="166"/>
      <c r="AS90" s="166"/>
      <c r="AT90" s="166"/>
      <c r="AU90" s="166"/>
      <c r="AV90" s="166"/>
      <c r="AW90" s="166"/>
      <c r="AX90" s="166"/>
      <c r="AY90" s="166"/>
      <c r="AZ90" s="166"/>
      <c r="BA90" s="166"/>
      <c r="BB90" s="266"/>
      <c r="BC90" s="166"/>
      <c r="BD90" s="166"/>
      <c r="BE90" s="266"/>
      <c r="BF90" s="266"/>
      <c r="BG90" s="266"/>
      <c r="BH90" s="266"/>
      <c r="BI90" s="266"/>
      <c r="BJ90" s="266"/>
      <c r="BK90" s="266"/>
      <c r="BL90" s="266"/>
      <c r="BM90" s="266"/>
      <c r="BN90" s="266"/>
      <c r="BO90" s="266"/>
      <c r="BP90" s="266"/>
      <c r="BQ90" s="266"/>
      <c r="BR90" s="266"/>
      <c r="BS90" s="266"/>
      <c r="BT90" s="274"/>
      <c r="BU90" s="830"/>
      <c r="BV90" s="274"/>
      <c r="BW90" s="274"/>
      <c r="BX90" s="274"/>
      <c r="BY90" s="274"/>
      <c r="BZ90" s="274"/>
      <c r="CA90" s="274"/>
      <c r="CB90" s="274"/>
      <c r="CC90" s="274"/>
      <c r="CD90" s="274"/>
      <c r="CE90" s="274"/>
      <c r="CF90" s="274"/>
      <c r="CG90" s="274"/>
      <c r="CH90" s="274"/>
      <c r="CI90" s="274"/>
      <c r="CJ90" s="274"/>
      <c r="CK90" s="166"/>
      <c r="CL90" s="166"/>
      <c r="CM90" s="166"/>
      <c r="CN90" s="166"/>
      <c r="CO90" s="166"/>
      <c r="CP90" s="166"/>
      <c r="CQ90" s="166"/>
      <c r="CR90" s="166"/>
      <c r="CS90" s="166"/>
      <c r="CT90" s="166"/>
      <c r="CU90" s="166"/>
      <c r="CV90" s="166"/>
      <c r="CW90" s="166"/>
      <c r="CX90" s="166"/>
      <c r="CY90" s="166"/>
      <c r="CZ90" s="166"/>
      <c r="DA90" s="166"/>
      <c r="DB90" s="166"/>
      <c r="DC90" s="266"/>
      <c r="DD90" s="166"/>
      <c r="DE90" s="166"/>
      <c r="DF90" s="166"/>
      <c r="DG90" s="166"/>
      <c r="DH90" s="166"/>
      <c r="DI90" s="166"/>
      <c r="DJ90" s="166"/>
      <c r="DK90" s="166"/>
      <c r="DL90" s="166"/>
      <c r="DM90" s="166"/>
      <c r="DN90" s="166"/>
      <c r="DO90" s="166"/>
    </row>
    <row r="91" spans="1:119" s="7" customFormat="1" ht="11.25" customHeight="1">
      <c r="A91" s="496"/>
      <c r="B91" s="496"/>
      <c r="C91" s="496"/>
      <c r="D91" s="496"/>
      <c r="E91" s="544"/>
      <c r="F91" s="544"/>
      <c r="G91" s="544"/>
      <c r="H91" s="544"/>
      <c r="I91" s="544"/>
      <c r="J91" s="544"/>
      <c r="K91" s="544"/>
      <c r="L91" s="544"/>
      <c r="M91" s="544"/>
      <c r="N91" s="544"/>
      <c r="O91" s="544"/>
      <c r="P91" s="544"/>
      <c r="Q91" s="544"/>
      <c r="R91" s="544"/>
      <c r="S91" s="544"/>
      <c r="T91" s="544"/>
      <c r="U91" s="275"/>
      <c r="V91" s="166"/>
      <c r="W91" s="166"/>
      <c r="X91" s="166"/>
      <c r="Y91" s="166"/>
      <c r="Z91" s="166"/>
      <c r="AA91" s="166"/>
      <c r="AB91" s="166"/>
      <c r="AC91" s="166"/>
      <c r="AD91" s="166"/>
      <c r="AE91" s="166"/>
      <c r="AF91" s="166"/>
      <c r="AG91" s="166"/>
      <c r="AH91" s="166"/>
      <c r="AI91" s="166"/>
      <c r="AJ91" s="166"/>
      <c r="AK91" s="166"/>
      <c r="AL91" s="266"/>
      <c r="AM91" s="166"/>
      <c r="AN91" s="166"/>
      <c r="AO91" s="166"/>
      <c r="AP91" s="166"/>
      <c r="AQ91" s="166"/>
      <c r="AR91" s="166"/>
      <c r="AS91" s="166"/>
      <c r="AT91" s="166"/>
      <c r="AU91" s="166"/>
      <c r="AV91" s="166"/>
      <c r="AW91" s="166"/>
      <c r="AX91" s="166"/>
      <c r="AY91" s="166"/>
      <c r="AZ91" s="166"/>
      <c r="BA91" s="166"/>
      <c r="BB91" s="266"/>
      <c r="BC91" s="166"/>
      <c r="BD91" s="166"/>
      <c r="BE91" s="266"/>
      <c r="BF91" s="266"/>
      <c r="BG91" s="266"/>
      <c r="BH91" s="266"/>
      <c r="BI91" s="266"/>
      <c r="BJ91" s="266"/>
      <c r="BK91" s="266"/>
      <c r="BL91" s="266"/>
      <c r="BM91" s="266"/>
      <c r="BN91" s="266"/>
      <c r="BO91" s="266"/>
      <c r="BP91" s="266"/>
      <c r="BQ91" s="266"/>
      <c r="BR91" s="266"/>
      <c r="BS91" s="266"/>
      <c r="BT91" s="274"/>
      <c r="BU91" s="830"/>
      <c r="BV91" s="274"/>
      <c r="BW91" s="274"/>
      <c r="BX91" s="274"/>
      <c r="BY91" s="274"/>
      <c r="BZ91" s="274"/>
      <c r="CA91" s="274"/>
      <c r="CB91" s="274"/>
      <c r="CC91" s="274"/>
      <c r="CD91" s="274"/>
      <c r="CE91" s="274"/>
      <c r="CF91" s="274"/>
      <c r="CG91" s="274"/>
      <c r="CH91" s="274"/>
      <c r="CI91" s="274"/>
      <c r="CJ91" s="274"/>
      <c r="CK91" s="166"/>
      <c r="CL91" s="166"/>
      <c r="CM91" s="166"/>
      <c r="CN91" s="166"/>
      <c r="CO91" s="166"/>
      <c r="CP91" s="166"/>
      <c r="CQ91" s="166"/>
      <c r="CR91" s="166"/>
      <c r="CS91" s="166"/>
      <c r="CT91" s="166"/>
      <c r="CU91" s="166"/>
      <c r="CV91" s="166"/>
      <c r="CW91" s="166"/>
      <c r="CX91" s="166"/>
      <c r="CY91" s="166"/>
      <c r="CZ91" s="166"/>
      <c r="DA91" s="166"/>
      <c r="DB91" s="166"/>
      <c r="DC91" s="266"/>
      <c r="DD91" s="166"/>
      <c r="DE91" s="166"/>
      <c r="DF91" s="166"/>
      <c r="DG91" s="166"/>
      <c r="DH91" s="166"/>
      <c r="DI91" s="166"/>
      <c r="DJ91" s="166"/>
      <c r="DK91" s="166"/>
      <c r="DL91" s="166"/>
      <c r="DM91" s="166"/>
      <c r="DN91" s="166"/>
      <c r="DO91" s="166"/>
    </row>
    <row r="92" spans="1:119" s="7" customFormat="1" ht="2.25" customHeight="1">
      <c r="A92" s="496"/>
      <c r="B92" s="496"/>
      <c r="C92" s="496"/>
      <c r="D92" s="496"/>
      <c r="E92" s="544"/>
      <c r="F92" s="544"/>
      <c r="G92" s="544"/>
      <c r="H92" s="544"/>
      <c r="I92" s="544"/>
      <c r="J92" s="544"/>
      <c r="K92" s="544"/>
      <c r="L92" s="544"/>
      <c r="M92" s="544"/>
      <c r="N92" s="544"/>
      <c r="O92" s="544"/>
      <c r="P92" s="544"/>
      <c r="Q92" s="544"/>
      <c r="R92" s="544"/>
      <c r="S92" s="544"/>
      <c r="T92" s="544"/>
      <c r="U92" s="275"/>
      <c r="V92" s="166"/>
      <c r="W92" s="166"/>
      <c r="X92" s="166"/>
      <c r="Y92" s="166"/>
      <c r="Z92" s="166"/>
      <c r="AA92" s="166"/>
      <c r="AB92" s="166"/>
      <c r="AC92" s="166"/>
      <c r="AD92" s="166"/>
      <c r="AE92" s="166"/>
      <c r="AF92" s="166"/>
      <c r="AG92" s="166"/>
      <c r="AH92" s="166"/>
      <c r="AI92" s="166"/>
      <c r="AJ92" s="166"/>
      <c r="AK92" s="166"/>
      <c r="AL92" s="266"/>
      <c r="AM92" s="166"/>
      <c r="AN92" s="166"/>
      <c r="AO92" s="166"/>
      <c r="AP92" s="166"/>
      <c r="AQ92" s="166"/>
      <c r="AR92" s="166"/>
      <c r="AS92" s="166"/>
      <c r="AT92" s="166"/>
      <c r="AU92" s="166"/>
      <c r="AV92" s="166"/>
      <c r="AW92" s="166"/>
      <c r="AX92" s="166"/>
      <c r="AY92" s="166"/>
      <c r="AZ92" s="166"/>
      <c r="BA92" s="166"/>
      <c r="BB92" s="266"/>
      <c r="BC92" s="166"/>
      <c r="BD92" s="166"/>
      <c r="BE92" s="266"/>
      <c r="BF92" s="266"/>
      <c r="BG92" s="266"/>
      <c r="BH92" s="266"/>
      <c r="BI92" s="266"/>
      <c r="BJ92" s="266"/>
      <c r="BK92" s="266"/>
      <c r="BL92" s="266"/>
      <c r="BM92" s="266"/>
      <c r="BN92" s="266"/>
      <c r="BO92" s="266"/>
      <c r="BP92" s="266"/>
      <c r="BQ92" s="266"/>
      <c r="BR92" s="266"/>
      <c r="BS92" s="266"/>
      <c r="BT92" s="274"/>
      <c r="BU92" s="830"/>
      <c r="BV92" s="274"/>
      <c r="BW92" s="274"/>
      <c r="BX92" s="274"/>
      <c r="BY92" s="274"/>
      <c r="BZ92" s="274"/>
      <c r="CA92" s="274"/>
      <c r="CB92" s="274"/>
      <c r="CC92" s="274"/>
      <c r="CD92" s="274"/>
      <c r="CE92" s="274"/>
      <c r="CF92" s="274"/>
      <c r="CG92" s="274"/>
      <c r="CH92" s="274"/>
      <c r="CI92" s="274"/>
      <c r="CJ92" s="274"/>
      <c r="CK92" s="166"/>
      <c r="CL92" s="166"/>
      <c r="CM92" s="166"/>
      <c r="CN92" s="166"/>
      <c r="CO92" s="166"/>
      <c r="CP92" s="166"/>
      <c r="CQ92" s="166"/>
      <c r="CR92" s="166"/>
      <c r="CS92" s="166"/>
      <c r="CT92" s="166"/>
      <c r="CU92" s="166"/>
      <c r="CV92" s="166"/>
      <c r="CW92" s="166"/>
      <c r="CX92" s="166"/>
      <c r="CY92" s="166"/>
      <c r="CZ92" s="166"/>
      <c r="DA92" s="166"/>
      <c r="DB92" s="166"/>
      <c r="DC92" s="266"/>
      <c r="DD92" s="166"/>
      <c r="DE92" s="166"/>
      <c r="DF92" s="166"/>
      <c r="DG92" s="166"/>
      <c r="DH92" s="166"/>
      <c r="DI92" s="166"/>
      <c r="DJ92" s="166"/>
      <c r="DK92" s="166"/>
      <c r="DL92" s="166"/>
      <c r="DM92" s="166"/>
      <c r="DN92" s="166"/>
      <c r="DO92" s="166"/>
    </row>
    <row r="93" spans="1:119" s="7" customFormat="1" ht="11.25" customHeight="1">
      <c r="A93" s="496"/>
      <c r="B93" s="496"/>
      <c r="C93" s="496"/>
      <c r="D93" s="496"/>
      <c r="E93" s="544"/>
      <c r="F93" s="544"/>
      <c r="G93" s="544"/>
      <c r="H93" s="544"/>
      <c r="I93" s="544"/>
      <c r="J93" s="544"/>
      <c r="K93" s="544"/>
      <c r="L93" s="544"/>
      <c r="M93" s="544"/>
      <c r="N93" s="544"/>
      <c r="O93" s="544"/>
      <c r="P93" s="544"/>
      <c r="Q93" s="544"/>
      <c r="R93" s="544"/>
      <c r="S93" s="544"/>
      <c r="T93" s="544"/>
      <c r="U93" s="275"/>
      <c r="V93" s="166"/>
      <c r="W93" s="166"/>
      <c r="X93" s="166"/>
      <c r="Y93" s="166"/>
      <c r="Z93" s="166"/>
      <c r="AA93" s="166"/>
      <c r="AB93" s="166"/>
      <c r="AC93" s="166"/>
      <c r="AD93" s="166"/>
      <c r="AE93" s="166"/>
      <c r="AF93" s="166"/>
      <c r="AG93" s="166"/>
      <c r="AH93" s="166"/>
      <c r="AI93" s="166"/>
      <c r="AJ93" s="166"/>
      <c r="AK93" s="166"/>
      <c r="AL93" s="266"/>
      <c r="AM93" s="166"/>
      <c r="AN93" s="166"/>
      <c r="AO93" s="166"/>
      <c r="AP93" s="166"/>
      <c r="AQ93" s="166"/>
      <c r="AR93" s="166"/>
      <c r="AS93" s="166"/>
      <c r="AT93" s="166"/>
      <c r="AU93" s="166"/>
      <c r="AV93" s="166"/>
      <c r="AW93" s="166"/>
      <c r="AX93" s="166"/>
      <c r="AY93" s="166"/>
      <c r="AZ93" s="166"/>
      <c r="BA93" s="166"/>
      <c r="BB93" s="266"/>
      <c r="BC93" s="166"/>
      <c r="BD93" s="166"/>
      <c r="BE93" s="266"/>
      <c r="BF93" s="266"/>
      <c r="BG93" s="266"/>
      <c r="BH93" s="266"/>
      <c r="BI93" s="266"/>
      <c r="BJ93" s="266"/>
      <c r="BK93" s="266"/>
      <c r="BL93" s="266"/>
      <c r="BM93" s="266"/>
      <c r="BN93" s="266"/>
      <c r="BO93" s="266"/>
      <c r="BP93" s="266"/>
      <c r="BQ93" s="266"/>
      <c r="BR93" s="266"/>
      <c r="BS93" s="266"/>
      <c r="BT93" s="274"/>
      <c r="BU93" s="830"/>
      <c r="BV93" s="274"/>
      <c r="BW93" s="274"/>
      <c r="BX93" s="274"/>
      <c r="BY93" s="274"/>
      <c r="BZ93" s="274"/>
      <c r="CA93" s="274"/>
      <c r="CB93" s="274"/>
      <c r="CC93" s="274"/>
      <c r="CD93" s="274"/>
      <c r="CE93" s="274"/>
      <c r="CF93" s="274"/>
      <c r="CG93" s="274"/>
      <c r="CH93" s="274"/>
      <c r="CI93" s="274"/>
      <c r="CJ93" s="274"/>
      <c r="CK93" s="166"/>
      <c r="CL93" s="166"/>
      <c r="CM93" s="166"/>
      <c r="CN93" s="166"/>
      <c r="CO93" s="166"/>
      <c r="CP93" s="166"/>
      <c r="CQ93" s="166"/>
      <c r="CR93" s="166"/>
      <c r="CS93" s="166"/>
      <c r="CT93" s="166"/>
      <c r="CU93" s="166"/>
      <c r="CV93" s="166"/>
      <c r="CW93" s="166"/>
      <c r="CX93" s="166"/>
      <c r="CY93" s="166"/>
      <c r="CZ93" s="166"/>
      <c r="DA93" s="166"/>
      <c r="DB93" s="166"/>
      <c r="DC93" s="266"/>
      <c r="DD93" s="166"/>
      <c r="DE93" s="166"/>
      <c r="DF93" s="166"/>
      <c r="DG93" s="166"/>
      <c r="DH93" s="166"/>
      <c r="DI93" s="166"/>
      <c r="DJ93" s="166"/>
      <c r="DK93" s="166"/>
      <c r="DL93" s="166"/>
      <c r="DM93" s="166"/>
      <c r="DN93" s="166"/>
      <c r="DO93" s="166"/>
    </row>
    <row r="94" spans="1:119" s="7" customFormat="1" ht="2.25" customHeight="1">
      <c r="A94" s="496"/>
      <c r="B94" s="496"/>
      <c r="C94" s="496"/>
      <c r="D94" s="496"/>
      <c r="E94" s="544"/>
      <c r="F94" s="544"/>
      <c r="G94" s="544"/>
      <c r="H94" s="544"/>
      <c r="I94" s="544"/>
      <c r="J94" s="544"/>
      <c r="K94" s="544"/>
      <c r="L94" s="544"/>
      <c r="M94" s="544"/>
      <c r="N94" s="544"/>
      <c r="O94" s="544"/>
      <c r="P94" s="544"/>
      <c r="Q94" s="544"/>
      <c r="R94" s="544"/>
      <c r="S94" s="544"/>
      <c r="T94" s="544"/>
      <c r="U94" s="275"/>
      <c r="V94" s="166"/>
      <c r="W94" s="166"/>
      <c r="X94" s="166"/>
      <c r="Y94" s="166"/>
      <c r="Z94" s="166"/>
      <c r="AA94" s="166"/>
      <c r="AB94" s="166"/>
      <c r="AC94" s="166"/>
      <c r="AD94" s="166"/>
      <c r="AE94" s="166"/>
      <c r="AF94" s="166"/>
      <c r="AG94" s="166"/>
      <c r="AH94" s="166"/>
      <c r="AI94" s="166"/>
      <c r="AJ94" s="166"/>
      <c r="AK94" s="166"/>
      <c r="AL94" s="266"/>
      <c r="AM94" s="166"/>
      <c r="AN94" s="166"/>
      <c r="AO94" s="166"/>
      <c r="AP94" s="166"/>
      <c r="AQ94" s="166"/>
      <c r="AR94" s="166"/>
      <c r="AS94" s="166"/>
      <c r="AT94" s="166"/>
      <c r="AU94" s="166"/>
      <c r="AV94" s="166"/>
      <c r="AW94" s="166"/>
      <c r="AX94" s="166"/>
      <c r="AY94" s="166"/>
      <c r="AZ94" s="166"/>
      <c r="BA94" s="166"/>
      <c r="BB94" s="266"/>
      <c r="BC94" s="166"/>
      <c r="BD94" s="166"/>
      <c r="BE94" s="266"/>
      <c r="BF94" s="266"/>
      <c r="BG94" s="266"/>
      <c r="BH94" s="266"/>
      <c r="BI94" s="266"/>
      <c r="BJ94" s="266"/>
      <c r="BK94" s="266"/>
      <c r="BL94" s="266"/>
      <c r="BM94" s="266"/>
      <c r="BN94" s="266"/>
      <c r="BO94" s="266"/>
      <c r="BP94" s="266"/>
      <c r="BQ94" s="266"/>
      <c r="BR94" s="266"/>
      <c r="BS94" s="266"/>
      <c r="BT94" s="274"/>
      <c r="BU94" s="830"/>
      <c r="BV94" s="274"/>
      <c r="BW94" s="274"/>
      <c r="BX94" s="274"/>
      <c r="BY94" s="274"/>
      <c r="BZ94" s="274"/>
      <c r="CA94" s="274"/>
      <c r="CB94" s="274"/>
      <c r="CC94" s="274"/>
      <c r="CD94" s="274"/>
      <c r="CE94" s="274"/>
      <c r="CF94" s="274"/>
      <c r="CG94" s="274"/>
      <c r="CH94" s="274"/>
      <c r="CI94" s="274"/>
      <c r="CJ94" s="274"/>
      <c r="CK94" s="166"/>
      <c r="CL94" s="166"/>
      <c r="CM94" s="166"/>
      <c r="CN94" s="166"/>
      <c r="CO94" s="166"/>
      <c r="CP94" s="166"/>
      <c r="CQ94" s="166"/>
      <c r="CR94" s="166"/>
      <c r="CS94" s="166"/>
      <c r="CT94" s="166"/>
      <c r="CU94" s="166"/>
      <c r="CV94" s="166"/>
      <c r="CW94" s="166"/>
      <c r="CX94" s="166"/>
      <c r="CY94" s="166"/>
      <c r="CZ94" s="166"/>
      <c r="DA94" s="166"/>
      <c r="DB94" s="166"/>
      <c r="DC94" s="266"/>
      <c r="DD94" s="166"/>
      <c r="DE94" s="166"/>
      <c r="DF94" s="166"/>
      <c r="DG94" s="166"/>
      <c r="DH94" s="166"/>
      <c r="DI94" s="166"/>
      <c r="DJ94" s="166"/>
      <c r="DK94" s="166"/>
      <c r="DL94" s="166"/>
      <c r="DM94" s="166"/>
      <c r="DN94" s="166"/>
      <c r="DO94" s="166"/>
    </row>
    <row r="95" spans="1:119" s="7" customFormat="1" ht="11.25" customHeight="1">
      <c r="A95" s="496"/>
      <c r="B95" s="496"/>
      <c r="C95" s="496"/>
      <c r="D95" s="496"/>
      <c r="E95" s="544"/>
      <c r="F95" s="544"/>
      <c r="G95" s="544"/>
      <c r="H95" s="544"/>
      <c r="I95" s="544"/>
      <c r="J95" s="544"/>
      <c r="K95" s="544"/>
      <c r="L95" s="544"/>
      <c r="M95" s="544"/>
      <c r="N95" s="544"/>
      <c r="O95" s="544"/>
      <c r="P95" s="544"/>
      <c r="Q95" s="544"/>
      <c r="R95" s="544"/>
      <c r="S95" s="544"/>
      <c r="T95" s="544"/>
      <c r="U95" s="275"/>
      <c r="V95" s="166"/>
      <c r="W95" s="166"/>
      <c r="X95" s="166"/>
      <c r="Y95" s="166"/>
      <c r="Z95" s="166"/>
      <c r="AA95" s="166"/>
      <c r="AB95" s="166"/>
      <c r="AC95" s="166"/>
      <c r="AD95" s="166"/>
      <c r="AE95" s="166"/>
      <c r="AF95" s="166"/>
      <c r="AG95" s="166"/>
      <c r="AH95" s="166"/>
      <c r="AI95" s="166"/>
      <c r="AJ95" s="166"/>
      <c r="AK95" s="166"/>
      <c r="AL95" s="266"/>
      <c r="AM95" s="166"/>
      <c r="AN95" s="166"/>
      <c r="AO95" s="166"/>
      <c r="AP95" s="166"/>
      <c r="AQ95" s="166"/>
      <c r="AR95" s="166"/>
      <c r="AS95" s="166"/>
      <c r="AT95" s="166"/>
      <c r="AU95" s="166"/>
      <c r="AV95" s="166"/>
      <c r="AW95" s="166"/>
      <c r="AX95" s="166"/>
      <c r="AY95" s="166"/>
      <c r="AZ95" s="166"/>
      <c r="BA95" s="166"/>
      <c r="BB95" s="266"/>
      <c r="BC95" s="166"/>
      <c r="BD95" s="166"/>
      <c r="BE95" s="266"/>
      <c r="BF95" s="266"/>
      <c r="BG95" s="266"/>
      <c r="BH95" s="266"/>
      <c r="BI95" s="266"/>
      <c r="BJ95" s="266"/>
      <c r="BK95" s="266"/>
      <c r="BL95" s="266"/>
      <c r="BM95" s="266"/>
      <c r="BN95" s="266"/>
      <c r="BO95" s="266"/>
      <c r="BP95" s="266"/>
      <c r="BQ95" s="266"/>
      <c r="BR95" s="266"/>
      <c r="BS95" s="266"/>
      <c r="BT95" s="274"/>
      <c r="BU95" s="830"/>
      <c r="BV95" s="274"/>
      <c r="BW95" s="274"/>
      <c r="BX95" s="274"/>
      <c r="BY95" s="274"/>
      <c r="BZ95" s="274"/>
      <c r="CA95" s="274"/>
      <c r="CB95" s="274"/>
      <c r="CC95" s="274"/>
      <c r="CD95" s="274"/>
      <c r="CE95" s="274"/>
      <c r="CF95" s="274"/>
      <c r="CG95" s="274"/>
      <c r="CH95" s="274"/>
      <c r="CI95" s="274"/>
      <c r="CJ95" s="274"/>
      <c r="CK95" s="166"/>
      <c r="CL95" s="166"/>
      <c r="CM95" s="166"/>
      <c r="CN95" s="166"/>
      <c r="CO95" s="166"/>
      <c r="CP95" s="166"/>
      <c r="CQ95" s="166"/>
      <c r="CR95" s="166"/>
      <c r="CS95" s="166"/>
      <c r="CT95" s="166"/>
      <c r="CU95" s="166"/>
      <c r="CV95" s="166"/>
      <c r="CW95" s="166"/>
      <c r="CX95" s="166"/>
      <c r="CY95" s="166"/>
      <c r="CZ95" s="166"/>
      <c r="DA95" s="166"/>
      <c r="DB95" s="166"/>
      <c r="DC95" s="266"/>
      <c r="DD95" s="166"/>
      <c r="DE95" s="166"/>
      <c r="DF95" s="166"/>
      <c r="DG95" s="166"/>
      <c r="DH95" s="166"/>
      <c r="DI95" s="166"/>
      <c r="DJ95" s="166"/>
      <c r="DK95" s="166"/>
      <c r="DL95" s="166"/>
      <c r="DM95" s="166"/>
      <c r="DN95" s="166"/>
      <c r="DO95" s="166"/>
    </row>
    <row r="96" spans="1:119" s="7" customFormat="1" ht="2.25" customHeight="1">
      <c r="A96" s="496"/>
      <c r="B96" s="496"/>
      <c r="C96" s="496"/>
      <c r="D96" s="496"/>
      <c r="E96" s="544"/>
      <c r="F96" s="544"/>
      <c r="G96" s="544"/>
      <c r="H96" s="544"/>
      <c r="I96" s="544"/>
      <c r="J96" s="544"/>
      <c r="K96" s="544"/>
      <c r="L96" s="544"/>
      <c r="M96" s="544"/>
      <c r="N96" s="544"/>
      <c r="O96" s="544"/>
      <c r="P96" s="544"/>
      <c r="Q96" s="544"/>
      <c r="R96" s="544"/>
      <c r="S96" s="544"/>
      <c r="T96" s="544"/>
      <c r="U96" s="275"/>
      <c r="V96" s="166"/>
      <c r="W96" s="166"/>
      <c r="X96" s="166"/>
      <c r="Y96" s="166"/>
      <c r="Z96" s="166"/>
      <c r="AA96" s="166"/>
      <c r="AB96" s="166"/>
      <c r="AC96" s="166"/>
      <c r="AD96" s="166"/>
      <c r="AE96" s="166"/>
      <c r="AF96" s="166"/>
      <c r="AG96" s="166"/>
      <c r="AH96" s="166"/>
      <c r="AI96" s="166"/>
      <c r="AJ96" s="166"/>
      <c r="AK96" s="166"/>
      <c r="AL96" s="266"/>
      <c r="AM96" s="166"/>
      <c r="AN96" s="166"/>
      <c r="AO96" s="166"/>
      <c r="AP96" s="166"/>
      <c r="AQ96" s="166"/>
      <c r="AR96" s="166"/>
      <c r="AS96" s="166"/>
      <c r="AT96" s="166"/>
      <c r="AU96" s="166"/>
      <c r="AV96" s="166"/>
      <c r="AW96" s="166"/>
      <c r="AX96" s="166"/>
      <c r="AY96" s="166"/>
      <c r="AZ96" s="166"/>
      <c r="BA96" s="166"/>
      <c r="BB96" s="266"/>
      <c r="BC96" s="166"/>
      <c r="BD96" s="166"/>
      <c r="BE96" s="266"/>
      <c r="BF96" s="266"/>
      <c r="BG96" s="266"/>
      <c r="BH96" s="266"/>
      <c r="BI96" s="266"/>
      <c r="BJ96" s="266"/>
      <c r="BK96" s="266"/>
      <c r="BL96" s="266"/>
      <c r="BM96" s="266"/>
      <c r="BN96" s="266"/>
      <c r="BO96" s="266"/>
      <c r="BP96" s="266"/>
      <c r="BQ96" s="266"/>
      <c r="BR96" s="266"/>
      <c r="BS96" s="266"/>
      <c r="BT96" s="274"/>
      <c r="BU96" s="830"/>
      <c r="BV96" s="274"/>
      <c r="BW96" s="274"/>
      <c r="BX96" s="274"/>
      <c r="BY96" s="274"/>
      <c r="BZ96" s="274"/>
      <c r="CA96" s="274"/>
      <c r="CB96" s="274"/>
      <c r="CC96" s="274"/>
      <c r="CD96" s="274"/>
      <c r="CE96" s="274"/>
      <c r="CF96" s="274"/>
      <c r="CG96" s="274"/>
      <c r="CH96" s="274"/>
      <c r="CI96" s="274"/>
      <c r="CJ96" s="274"/>
      <c r="CK96" s="166"/>
      <c r="CL96" s="166"/>
      <c r="CM96" s="166"/>
      <c r="CN96" s="166"/>
      <c r="CO96" s="166"/>
      <c r="CP96" s="166"/>
      <c r="CQ96" s="166"/>
      <c r="CR96" s="166"/>
      <c r="CS96" s="166"/>
      <c r="CT96" s="166"/>
      <c r="CU96" s="166"/>
      <c r="CV96" s="166"/>
      <c r="CW96" s="166"/>
      <c r="CX96" s="166"/>
      <c r="CY96" s="166"/>
      <c r="CZ96" s="166"/>
      <c r="DA96" s="166"/>
      <c r="DB96" s="166"/>
      <c r="DC96" s="266"/>
      <c r="DD96" s="166"/>
      <c r="DE96" s="166"/>
      <c r="DF96" s="166"/>
      <c r="DG96" s="166"/>
      <c r="DH96" s="166"/>
      <c r="DI96" s="166"/>
      <c r="DJ96" s="166"/>
      <c r="DK96" s="166"/>
      <c r="DL96" s="166"/>
      <c r="DM96" s="166"/>
      <c r="DN96" s="166"/>
      <c r="DO96" s="166"/>
    </row>
    <row r="97" spans="1:119" s="7" customFormat="1" ht="11.25" customHeight="1">
      <c r="A97" s="496"/>
      <c r="B97" s="496"/>
      <c r="C97" s="496"/>
      <c r="D97" s="496"/>
      <c r="E97" s="544"/>
      <c r="F97" s="544"/>
      <c r="G97" s="544"/>
      <c r="H97" s="544"/>
      <c r="I97" s="544"/>
      <c r="J97" s="544"/>
      <c r="K97" s="544"/>
      <c r="L97" s="544"/>
      <c r="M97" s="544"/>
      <c r="N97" s="544"/>
      <c r="O97" s="544"/>
      <c r="P97" s="544"/>
      <c r="Q97" s="544"/>
      <c r="R97" s="544"/>
      <c r="S97" s="544"/>
      <c r="T97" s="544"/>
      <c r="U97" s="275"/>
      <c r="V97" s="166"/>
      <c r="W97" s="166"/>
      <c r="X97" s="166"/>
      <c r="Y97" s="166"/>
      <c r="Z97" s="166"/>
      <c r="AA97" s="166"/>
      <c r="AB97" s="166"/>
      <c r="AC97" s="166"/>
      <c r="AD97" s="166"/>
      <c r="AE97" s="166"/>
      <c r="AF97" s="166"/>
      <c r="AG97" s="166"/>
      <c r="AH97" s="166"/>
      <c r="AI97" s="166"/>
      <c r="AJ97" s="166"/>
      <c r="AK97" s="166"/>
      <c r="AL97" s="266"/>
      <c r="AM97" s="166"/>
      <c r="AN97" s="166"/>
      <c r="AO97" s="166"/>
      <c r="AP97" s="166"/>
      <c r="AQ97" s="166"/>
      <c r="AR97" s="166"/>
      <c r="AS97" s="166"/>
      <c r="AT97" s="166"/>
      <c r="AU97" s="166"/>
      <c r="AV97" s="166"/>
      <c r="AW97" s="166"/>
      <c r="AX97" s="166"/>
      <c r="AY97" s="166"/>
      <c r="AZ97" s="166"/>
      <c r="BA97" s="166"/>
      <c r="BB97" s="266"/>
      <c r="BC97" s="166"/>
      <c r="BD97" s="166"/>
      <c r="BE97" s="166"/>
      <c r="BF97" s="166"/>
      <c r="BG97" s="166"/>
      <c r="BH97" s="166"/>
      <c r="BI97" s="166"/>
      <c r="BJ97" s="166"/>
      <c r="BK97" s="166"/>
      <c r="BL97" s="166"/>
      <c r="BM97" s="166"/>
      <c r="BN97" s="166"/>
      <c r="BO97" s="166"/>
      <c r="BP97" s="166"/>
      <c r="BQ97" s="166"/>
      <c r="BR97" s="166"/>
      <c r="BS97" s="266"/>
      <c r="BT97" s="274"/>
      <c r="BU97" s="830"/>
      <c r="BV97" s="274"/>
      <c r="BW97" s="274"/>
      <c r="BX97" s="274"/>
      <c r="BY97" s="274"/>
      <c r="BZ97" s="274"/>
      <c r="CA97" s="274"/>
      <c r="CB97" s="274"/>
      <c r="CC97" s="274"/>
      <c r="CD97" s="274"/>
      <c r="CE97" s="274"/>
      <c r="CF97" s="274"/>
      <c r="CG97" s="274"/>
      <c r="CH97" s="274"/>
      <c r="CI97" s="274"/>
      <c r="CJ97" s="274"/>
      <c r="CK97" s="166"/>
      <c r="CL97" s="166"/>
      <c r="CM97" s="166"/>
      <c r="CN97" s="166"/>
      <c r="CO97" s="166"/>
      <c r="CP97" s="166"/>
      <c r="CQ97" s="166"/>
      <c r="CR97" s="166"/>
      <c r="CS97" s="166"/>
      <c r="CT97" s="166"/>
      <c r="CU97" s="166"/>
      <c r="CV97" s="166"/>
      <c r="CW97" s="166"/>
      <c r="CX97" s="166"/>
      <c r="CY97" s="166"/>
      <c r="CZ97" s="166"/>
      <c r="DA97" s="166"/>
      <c r="DB97" s="166"/>
      <c r="DC97" s="266"/>
      <c r="DD97" s="166"/>
      <c r="DE97" s="166"/>
      <c r="DF97" s="166"/>
      <c r="DG97" s="166"/>
      <c r="DH97" s="166"/>
      <c r="DI97" s="166"/>
      <c r="DJ97" s="166"/>
      <c r="DK97" s="166"/>
      <c r="DL97" s="166"/>
      <c r="DM97" s="166"/>
      <c r="DN97" s="166"/>
      <c r="DO97" s="166"/>
    </row>
    <row r="98" spans="1:119" s="7" customFormat="1" ht="2.25" customHeight="1">
      <c r="A98" s="496"/>
      <c r="B98" s="496"/>
      <c r="C98" s="496"/>
      <c r="D98" s="496"/>
      <c r="E98" s="544"/>
      <c r="F98" s="544"/>
      <c r="G98" s="544"/>
      <c r="H98" s="544"/>
      <c r="I98" s="544"/>
      <c r="J98" s="544"/>
      <c r="K98" s="544"/>
      <c r="L98" s="544"/>
      <c r="M98" s="544"/>
      <c r="N98" s="544"/>
      <c r="O98" s="544"/>
      <c r="P98" s="544"/>
      <c r="Q98" s="544"/>
      <c r="R98" s="544"/>
      <c r="S98" s="544"/>
      <c r="T98" s="544"/>
      <c r="U98" s="275"/>
      <c r="V98" s="166"/>
      <c r="W98" s="166"/>
      <c r="X98" s="166"/>
      <c r="Y98" s="166"/>
      <c r="Z98" s="166"/>
      <c r="AA98" s="166"/>
      <c r="AB98" s="166"/>
      <c r="AC98" s="166"/>
      <c r="AD98" s="166"/>
      <c r="AE98" s="166"/>
      <c r="AF98" s="166"/>
      <c r="AG98" s="166"/>
      <c r="AH98" s="166"/>
      <c r="AI98" s="166"/>
      <c r="AJ98" s="166"/>
      <c r="AK98" s="166"/>
      <c r="AL98" s="266"/>
      <c r="AM98" s="166"/>
      <c r="AN98" s="166"/>
      <c r="AO98" s="166"/>
      <c r="AP98" s="166"/>
      <c r="AQ98" s="166"/>
      <c r="AR98" s="166"/>
      <c r="AS98" s="166"/>
      <c r="AT98" s="166"/>
      <c r="AU98" s="166"/>
      <c r="AV98" s="166"/>
      <c r="AW98" s="166"/>
      <c r="AX98" s="166"/>
      <c r="AY98" s="166"/>
      <c r="AZ98" s="166"/>
      <c r="BA98" s="166"/>
      <c r="BB98" s="266"/>
      <c r="BC98" s="166"/>
      <c r="BD98" s="166"/>
      <c r="BE98" s="166"/>
      <c r="BF98" s="166"/>
      <c r="BG98" s="166"/>
      <c r="BH98" s="166"/>
      <c r="BI98" s="166"/>
      <c r="BJ98" s="166"/>
      <c r="BK98" s="166"/>
      <c r="BL98" s="166"/>
      <c r="BM98" s="166"/>
      <c r="BN98" s="166"/>
      <c r="BO98" s="166"/>
      <c r="BP98" s="166"/>
      <c r="BQ98" s="166"/>
      <c r="BR98" s="166"/>
      <c r="BS98" s="266"/>
      <c r="BT98" s="274"/>
      <c r="BU98" s="830"/>
      <c r="BV98" s="274"/>
      <c r="BW98" s="274"/>
      <c r="BX98" s="274"/>
      <c r="BY98" s="274"/>
      <c r="BZ98" s="274"/>
      <c r="CA98" s="274"/>
      <c r="CB98" s="274"/>
      <c r="CC98" s="274"/>
      <c r="CD98" s="274"/>
      <c r="CE98" s="274"/>
      <c r="CF98" s="274"/>
      <c r="CG98" s="274"/>
      <c r="CH98" s="274"/>
      <c r="CI98" s="274"/>
      <c r="CJ98" s="274"/>
      <c r="CK98" s="166"/>
      <c r="CL98" s="166"/>
      <c r="CM98" s="166"/>
      <c r="CN98" s="166"/>
      <c r="CO98" s="166"/>
      <c r="CP98" s="166"/>
      <c r="CQ98" s="166"/>
      <c r="CR98" s="166"/>
      <c r="CS98" s="166"/>
      <c r="CT98" s="166"/>
      <c r="CU98" s="166"/>
      <c r="CV98" s="166"/>
      <c r="CW98" s="166"/>
      <c r="CX98" s="166"/>
      <c r="CY98" s="166"/>
      <c r="CZ98" s="166"/>
      <c r="DA98" s="166"/>
      <c r="DB98" s="166"/>
      <c r="DC98" s="266"/>
      <c r="DD98" s="166"/>
      <c r="DE98" s="166"/>
      <c r="DF98" s="166"/>
      <c r="DG98" s="166"/>
      <c r="DH98" s="166"/>
      <c r="DI98" s="166"/>
      <c r="DJ98" s="166"/>
      <c r="DK98" s="166"/>
      <c r="DL98" s="166"/>
      <c r="DM98" s="166"/>
      <c r="DN98" s="166"/>
      <c r="DO98" s="166"/>
    </row>
    <row r="99" spans="1:119" s="7" customFormat="1" ht="13.5" customHeight="1">
      <c r="A99" s="496"/>
      <c r="B99" s="496"/>
      <c r="C99" s="496"/>
      <c r="D99" s="496"/>
      <c r="E99" s="544"/>
      <c r="F99" s="544"/>
      <c r="G99" s="544"/>
      <c r="H99" s="544"/>
      <c r="I99" s="544"/>
      <c r="J99" s="544"/>
      <c r="K99" s="544"/>
      <c r="L99" s="544"/>
      <c r="M99" s="544"/>
      <c r="N99" s="544"/>
      <c r="O99" s="544"/>
      <c r="P99" s="544"/>
      <c r="Q99" s="544"/>
      <c r="R99" s="544"/>
      <c r="S99" s="544"/>
      <c r="T99" s="544"/>
      <c r="U99" s="275"/>
      <c r="V99" s="166"/>
      <c r="W99" s="166"/>
      <c r="X99" s="166"/>
      <c r="Y99" s="166"/>
      <c r="Z99" s="166"/>
      <c r="AA99" s="166"/>
      <c r="AB99" s="166"/>
      <c r="AC99" s="166"/>
      <c r="AD99" s="166"/>
      <c r="AE99" s="166"/>
      <c r="AF99" s="166"/>
      <c r="AG99" s="166"/>
      <c r="AH99" s="166"/>
      <c r="AI99" s="166"/>
      <c r="AJ99" s="166"/>
      <c r="AK99" s="166"/>
      <c r="AL99" s="266"/>
      <c r="AM99" s="166"/>
      <c r="AN99" s="166"/>
      <c r="AO99" s="166"/>
      <c r="AP99" s="166"/>
      <c r="AQ99" s="166"/>
      <c r="AR99" s="166"/>
      <c r="AS99" s="166"/>
      <c r="AT99" s="166"/>
      <c r="AU99" s="166"/>
      <c r="AV99" s="166"/>
      <c r="AW99" s="166"/>
      <c r="AX99" s="166"/>
      <c r="AY99" s="166"/>
      <c r="AZ99" s="166"/>
      <c r="BA99" s="166"/>
      <c r="BB99" s="266"/>
      <c r="BC99" s="166"/>
      <c r="BD99" s="166"/>
      <c r="BE99" s="166"/>
      <c r="BF99" s="166"/>
      <c r="BG99" s="166"/>
      <c r="BH99" s="166"/>
      <c r="BI99" s="166"/>
      <c r="BJ99" s="166"/>
      <c r="BK99" s="166"/>
      <c r="BL99" s="166"/>
      <c r="BM99" s="166"/>
      <c r="BN99" s="166"/>
      <c r="BO99" s="166"/>
      <c r="BP99" s="166"/>
      <c r="BQ99" s="166"/>
      <c r="BR99" s="166"/>
      <c r="BS99" s="266"/>
      <c r="BT99" s="274"/>
      <c r="BU99" s="830"/>
      <c r="BV99" s="274"/>
      <c r="BW99" s="274"/>
      <c r="BX99" s="274"/>
      <c r="BY99" s="274"/>
      <c r="BZ99" s="274"/>
      <c r="CA99" s="274"/>
      <c r="CB99" s="274"/>
      <c r="CC99" s="274"/>
      <c r="CD99" s="274"/>
      <c r="CE99" s="274"/>
      <c r="CF99" s="274"/>
      <c r="CG99" s="274"/>
      <c r="CH99" s="274"/>
      <c r="CI99" s="274"/>
      <c r="CJ99" s="274"/>
      <c r="CK99" s="166"/>
      <c r="CL99" s="166"/>
      <c r="CM99" s="166"/>
      <c r="CN99" s="166"/>
      <c r="CO99" s="166"/>
      <c r="CP99" s="166"/>
      <c r="CQ99" s="166"/>
      <c r="CR99" s="166"/>
      <c r="CS99" s="166"/>
      <c r="CT99" s="166"/>
      <c r="CU99" s="166"/>
      <c r="CV99" s="166"/>
      <c r="CW99" s="166"/>
      <c r="CX99" s="166"/>
      <c r="CY99" s="166"/>
      <c r="CZ99" s="166"/>
      <c r="DA99" s="166"/>
      <c r="DB99" s="166"/>
      <c r="DC99" s="266"/>
      <c r="DD99" s="166"/>
      <c r="DE99" s="166"/>
      <c r="DF99" s="166"/>
      <c r="DG99" s="166"/>
      <c r="DH99" s="166"/>
      <c r="DI99" s="166"/>
      <c r="DJ99" s="166"/>
      <c r="DK99" s="166"/>
      <c r="DL99" s="166"/>
      <c r="DM99" s="166"/>
      <c r="DN99" s="166"/>
      <c r="DO99" s="166"/>
    </row>
    <row r="100" spans="1:119" s="7" customFormat="1" ht="13.5" customHeight="1">
      <c r="A100" s="496"/>
      <c r="B100" s="496"/>
      <c r="C100" s="496"/>
      <c r="D100" s="496"/>
      <c r="E100" s="544"/>
      <c r="F100" s="544"/>
      <c r="G100" s="544"/>
      <c r="H100" s="544"/>
      <c r="I100" s="544"/>
      <c r="J100" s="544"/>
      <c r="K100" s="544"/>
      <c r="L100" s="544"/>
      <c r="M100" s="544"/>
      <c r="N100" s="544"/>
      <c r="O100" s="544"/>
      <c r="P100" s="544"/>
      <c r="Q100" s="544"/>
      <c r="R100" s="544"/>
      <c r="S100" s="544"/>
      <c r="T100" s="544"/>
      <c r="U100" s="275"/>
      <c r="V100" s="166"/>
      <c r="W100" s="166"/>
      <c r="X100" s="166"/>
      <c r="Y100" s="166"/>
      <c r="Z100" s="166"/>
      <c r="AA100" s="166"/>
      <c r="AB100" s="166"/>
      <c r="AC100" s="166"/>
      <c r="AD100" s="166"/>
      <c r="AE100" s="166"/>
      <c r="AF100" s="166"/>
      <c r="AG100" s="166"/>
      <c r="AH100" s="166"/>
      <c r="AI100" s="166"/>
      <c r="AJ100" s="166"/>
      <c r="AK100" s="166"/>
      <c r="AL100" s="266"/>
      <c r="AM100" s="166"/>
      <c r="AN100" s="166"/>
      <c r="AO100" s="166"/>
      <c r="AP100" s="166"/>
      <c r="AQ100" s="166"/>
      <c r="AR100" s="166"/>
      <c r="AS100" s="166"/>
      <c r="AT100" s="166"/>
      <c r="AU100" s="166"/>
      <c r="AV100" s="166"/>
      <c r="AW100" s="166"/>
      <c r="AX100" s="166"/>
      <c r="AY100" s="166"/>
      <c r="AZ100" s="166"/>
      <c r="BA100" s="166"/>
      <c r="BB100" s="266"/>
      <c r="BC100" s="166"/>
      <c r="BD100" s="166"/>
      <c r="BE100" s="166"/>
      <c r="BF100" s="166"/>
      <c r="BG100" s="166"/>
      <c r="BH100" s="166"/>
      <c r="BI100" s="166"/>
      <c r="BJ100" s="166"/>
      <c r="BK100" s="166"/>
      <c r="BL100" s="166"/>
      <c r="BM100" s="166"/>
      <c r="BN100" s="166"/>
      <c r="BO100" s="166"/>
      <c r="BP100" s="166"/>
      <c r="BQ100" s="166"/>
      <c r="BR100" s="166"/>
      <c r="BS100" s="266"/>
      <c r="BT100" s="274"/>
      <c r="BU100" s="830"/>
      <c r="BV100" s="274"/>
      <c r="BW100" s="274"/>
      <c r="BX100" s="274"/>
      <c r="BY100" s="274"/>
      <c r="BZ100" s="274"/>
      <c r="CA100" s="274"/>
      <c r="CB100" s="274"/>
      <c r="CC100" s="274"/>
      <c r="CD100" s="274"/>
      <c r="CE100" s="274"/>
      <c r="CF100" s="274"/>
      <c r="CG100" s="274"/>
      <c r="CH100" s="274"/>
      <c r="CI100" s="274"/>
      <c r="CJ100" s="274"/>
      <c r="CK100" s="166"/>
      <c r="CL100" s="166"/>
      <c r="CM100" s="166"/>
      <c r="CN100" s="166"/>
      <c r="CO100" s="166"/>
      <c r="CP100" s="166"/>
      <c r="CQ100" s="166"/>
      <c r="CR100" s="166"/>
      <c r="CS100" s="166"/>
      <c r="CT100" s="166"/>
      <c r="CU100" s="166"/>
      <c r="CV100" s="166"/>
      <c r="CW100" s="166"/>
      <c r="CX100" s="166"/>
      <c r="CY100" s="166"/>
      <c r="CZ100" s="166"/>
      <c r="DA100" s="166"/>
      <c r="DB100" s="166"/>
      <c r="DC100" s="266"/>
      <c r="DD100" s="166"/>
      <c r="DE100" s="166"/>
      <c r="DF100" s="166"/>
      <c r="DG100" s="166"/>
      <c r="DH100" s="166"/>
      <c r="DI100" s="166"/>
      <c r="DJ100" s="166"/>
      <c r="DK100" s="166"/>
      <c r="DL100" s="166"/>
      <c r="DM100" s="166"/>
      <c r="DN100" s="166"/>
      <c r="DO100" s="166"/>
    </row>
    <row r="101" spans="1:119" s="7" customFormat="1" ht="13.5" customHeight="1">
      <c r="A101" s="496"/>
      <c r="B101" s="496"/>
      <c r="C101" s="496"/>
      <c r="D101" s="496"/>
      <c r="E101" s="544"/>
      <c r="F101" s="544"/>
      <c r="G101" s="544"/>
      <c r="H101" s="544"/>
      <c r="I101" s="544"/>
      <c r="J101" s="544"/>
      <c r="K101" s="544"/>
      <c r="L101" s="544"/>
      <c r="M101" s="544"/>
      <c r="N101" s="544"/>
      <c r="O101" s="544"/>
      <c r="P101" s="544"/>
      <c r="Q101" s="544"/>
      <c r="R101" s="544"/>
      <c r="S101" s="544"/>
      <c r="T101" s="544"/>
      <c r="U101" s="275"/>
      <c r="V101" s="166"/>
      <c r="W101" s="166"/>
      <c r="X101" s="166"/>
      <c r="Y101" s="166"/>
      <c r="Z101" s="166"/>
      <c r="AA101" s="166"/>
      <c r="AB101" s="166"/>
      <c r="AC101" s="166"/>
      <c r="AD101" s="166"/>
      <c r="AE101" s="166"/>
      <c r="AF101" s="166"/>
      <c r="AG101" s="166"/>
      <c r="AH101" s="166"/>
      <c r="AI101" s="166"/>
      <c r="AJ101" s="166"/>
      <c r="AK101" s="166"/>
      <c r="AL101" s="266"/>
      <c r="AM101" s="166"/>
      <c r="AN101" s="166"/>
      <c r="AO101" s="166"/>
      <c r="AP101" s="166"/>
      <c r="AQ101" s="166"/>
      <c r="AR101" s="166"/>
      <c r="AS101" s="166"/>
      <c r="AT101" s="166"/>
      <c r="AU101" s="166"/>
      <c r="AV101" s="166"/>
      <c r="AW101" s="166"/>
      <c r="AX101" s="166"/>
      <c r="AY101" s="166"/>
      <c r="AZ101" s="166"/>
      <c r="BA101" s="166"/>
      <c r="BB101" s="266"/>
      <c r="BC101" s="166"/>
      <c r="BD101" s="166"/>
      <c r="BE101" s="166"/>
      <c r="BF101" s="166"/>
      <c r="BG101" s="166"/>
      <c r="BH101" s="166"/>
      <c r="BI101" s="166"/>
      <c r="BJ101" s="166"/>
      <c r="BK101" s="166"/>
      <c r="BL101" s="166"/>
      <c r="BM101" s="166"/>
      <c r="BN101" s="166"/>
      <c r="BO101" s="166"/>
      <c r="BP101" s="166"/>
      <c r="BQ101" s="166"/>
      <c r="BR101" s="166"/>
      <c r="BS101" s="266"/>
      <c r="BT101" s="274"/>
      <c r="BU101" s="830"/>
      <c r="BV101" s="274"/>
      <c r="BW101" s="274"/>
      <c r="BX101" s="274"/>
      <c r="BY101" s="274"/>
      <c r="BZ101" s="274"/>
      <c r="CA101" s="274"/>
      <c r="CB101" s="274"/>
      <c r="CC101" s="274"/>
      <c r="CD101" s="274"/>
      <c r="CE101" s="274"/>
      <c r="CF101" s="274"/>
      <c r="CG101" s="274"/>
      <c r="CH101" s="274"/>
      <c r="CI101" s="274"/>
      <c r="CJ101" s="274"/>
      <c r="CK101" s="166"/>
      <c r="CL101" s="166"/>
      <c r="CM101" s="166"/>
      <c r="CN101" s="166"/>
      <c r="CO101" s="166"/>
      <c r="CP101" s="166"/>
      <c r="CQ101" s="166"/>
      <c r="CR101" s="166"/>
      <c r="CS101" s="166"/>
      <c r="CT101" s="166"/>
      <c r="CU101" s="166"/>
      <c r="CV101" s="166"/>
      <c r="CW101" s="166"/>
      <c r="CX101" s="166"/>
      <c r="CY101" s="166"/>
      <c r="CZ101" s="166"/>
      <c r="DA101" s="166"/>
      <c r="DB101" s="166"/>
      <c r="DC101" s="266"/>
      <c r="DD101" s="166"/>
      <c r="DE101" s="166"/>
      <c r="DF101" s="166"/>
      <c r="DG101" s="166"/>
      <c r="DH101" s="166"/>
      <c r="DI101" s="166"/>
      <c r="DJ101" s="166"/>
      <c r="DK101" s="166"/>
      <c r="DL101" s="166"/>
      <c r="DM101" s="166"/>
      <c r="DN101" s="166"/>
      <c r="DO101" s="166"/>
    </row>
    <row r="102" spans="1:119" s="7" customFormat="1" ht="13.5" customHeight="1">
      <c r="A102" s="496"/>
      <c r="B102" s="496"/>
      <c r="C102" s="496"/>
      <c r="D102" s="496"/>
      <c r="E102" s="544"/>
      <c r="F102" s="544"/>
      <c r="G102" s="544"/>
      <c r="H102" s="544"/>
      <c r="I102" s="544"/>
      <c r="J102" s="544"/>
      <c r="K102" s="544"/>
      <c r="L102" s="544"/>
      <c r="M102" s="544"/>
      <c r="N102" s="544"/>
      <c r="O102" s="544"/>
      <c r="P102" s="544"/>
      <c r="Q102" s="544"/>
      <c r="R102" s="544"/>
      <c r="S102" s="544"/>
      <c r="T102" s="544"/>
      <c r="U102" s="275"/>
      <c r="V102" s="166"/>
      <c r="W102" s="166"/>
      <c r="X102" s="166"/>
      <c r="Y102" s="166"/>
      <c r="Z102" s="166"/>
      <c r="AA102" s="166"/>
      <c r="AB102" s="166"/>
      <c r="AC102" s="166"/>
      <c r="AD102" s="166"/>
      <c r="AE102" s="166"/>
      <c r="AF102" s="166"/>
      <c r="AG102" s="166"/>
      <c r="AH102" s="166"/>
      <c r="AI102" s="166"/>
      <c r="AJ102" s="166"/>
      <c r="AK102" s="166"/>
      <c r="AL102" s="266"/>
      <c r="AM102" s="166"/>
      <c r="AN102" s="166"/>
      <c r="AO102" s="166"/>
      <c r="AP102" s="166"/>
      <c r="AQ102" s="166"/>
      <c r="AR102" s="166"/>
      <c r="AS102" s="166"/>
      <c r="AT102" s="166"/>
      <c r="AU102" s="166"/>
      <c r="AV102" s="166"/>
      <c r="AW102" s="166"/>
      <c r="AX102" s="166"/>
      <c r="AY102" s="166"/>
      <c r="AZ102" s="166"/>
      <c r="BA102" s="166"/>
      <c r="BB102" s="266"/>
      <c r="BC102" s="166"/>
      <c r="BD102" s="166"/>
      <c r="BE102" s="166"/>
      <c r="BF102" s="166"/>
      <c r="BG102" s="166"/>
      <c r="BH102" s="166"/>
      <c r="BI102" s="166"/>
      <c r="BJ102" s="166"/>
      <c r="BK102" s="166"/>
      <c r="BL102" s="166"/>
      <c r="BM102" s="166"/>
      <c r="BN102" s="166"/>
      <c r="BO102" s="166"/>
      <c r="BP102" s="166"/>
      <c r="BQ102" s="166"/>
      <c r="BR102" s="166"/>
      <c r="BS102" s="266"/>
      <c r="BT102" s="274"/>
      <c r="BU102" s="830"/>
      <c r="BV102" s="274"/>
      <c r="BW102" s="274"/>
      <c r="BX102" s="274"/>
      <c r="BY102" s="274"/>
      <c r="BZ102" s="274"/>
      <c r="CA102" s="274"/>
      <c r="CB102" s="274"/>
      <c r="CC102" s="274"/>
      <c r="CD102" s="274"/>
      <c r="CE102" s="274"/>
      <c r="CF102" s="274"/>
      <c r="CG102" s="274"/>
      <c r="CH102" s="274"/>
      <c r="CI102" s="274"/>
      <c r="CJ102" s="274"/>
      <c r="CK102" s="166"/>
      <c r="CL102" s="166"/>
      <c r="CM102" s="166"/>
      <c r="CN102" s="166"/>
      <c r="CO102" s="166"/>
      <c r="CP102" s="166"/>
      <c r="CQ102" s="166"/>
      <c r="CR102" s="166"/>
      <c r="CS102" s="166"/>
      <c r="CT102" s="166"/>
      <c r="CU102" s="166"/>
      <c r="CV102" s="166"/>
      <c r="CW102" s="166"/>
      <c r="CX102" s="166"/>
      <c r="CY102" s="166"/>
      <c r="CZ102" s="166"/>
      <c r="DA102" s="166"/>
      <c r="DB102" s="166"/>
      <c r="DC102" s="266"/>
      <c r="DD102" s="166"/>
      <c r="DE102" s="166"/>
      <c r="DF102" s="166"/>
      <c r="DG102" s="166"/>
      <c r="DH102" s="166"/>
      <c r="DI102" s="166"/>
      <c r="DJ102" s="166"/>
      <c r="DK102" s="166"/>
      <c r="DL102" s="166"/>
      <c r="DM102" s="166"/>
      <c r="DN102" s="166"/>
      <c r="DO102" s="166"/>
    </row>
    <row r="103" spans="1:119" s="7" customFormat="1" ht="13.5" customHeight="1">
      <c r="A103" s="496"/>
      <c r="B103" s="496"/>
      <c r="C103" s="496"/>
      <c r="D103" s="496"/>
      <c r="E103" s="544"/>
      <c r="F103" s="544"/>
      <c r="G103" s="544"/>
      <c r="H103" s="544"/>
      <c r="I103" s="544"/>
      <c r="J103" s="544"/>
      <c r="K103" s="544"/>
      <c r="L103" s="544"/>
      <c r="M103" s="544"/>
      <c r="N103" s="544"/>
      <c r="O103" s="544"/>
      <c r="P103" s="544"/>
      <c r="Q103" s="544"/>
      <c r="R103" s="544"/>
      <c r="S103" s="544"/>
      <c r="T103" s="544"/>
      <c r="U103" s="275"/>
      <c r="V103" s="166"/>
      <c r="W103" s="166"/>
      <c r="X103" s="166"/>
      <c r="Y103" s="166"/>
      <c r="Z103" s="166"/>
      <c r="AA103" s="166"/>
      <c r="AB103" s="166"/>
      <c r="AC103" s="166"/>
      <c r="AD103" s="166"/>
      <c r="AE103" s="166"/>
      <c r="AF103" s="166"/>
      <c r="AG103" s="166"/>
      <c r="AH103" s="166"/>
      <c r="AI103" s="166"/>
      <c r="AJ103" s="166"/>
      <c r="AK103" s="166"/>
      <c r="AL103" s="266"/>
      <c r="AM103" s="166"/>
      <c r="AN103" s="166"/>
      <c r="AO103" s="166"/>
      <c r="AP103" s="166"/>
      <c r="AQ103" s="166"/>
      <c r="AR103" s="166"/>
      <c r="AS103" s="166"/>
      <c r="AT103" s="166"/>
      <c r="AU103" s="166"/>
      <c r="AV103" s="166"/>
      <c r="AW103" s="166"/>
      <c r="AX103" s="166"/>
      <c r="AY103" s="166"/>
      <c r="AZ103" s="166"/>
      <c r="BA103" s="166"/>
      <c r="BB103" s="266"/>
      <c r="BC103" s="166"/>
      <c r="BD103" s="166"/>
      <c r="BE103" s="166"/>
      <c r="BF103" s="166"/>
      <c r="BG103" s="166"/>
      <c r="BH103" s="166"/>
      <c r="BI103" s="166"/>
      <c r="BJ103" s="166"/>
      <c r="BK103" s="166"/>
      <c r="BL103" s="166"/>
      <c r="BM103" s="166"/>
      <c r="BN103" s="166"/>
      <c r="BO103" s="166"/>
      <c r="BP103" s="166"/>
      <c r="BQ103" s="166"/>
      <c r="BR103" s="166"/>
      <c r="BS103" s="266"/>
      <c r="BT103" s="266"/>
      <c r="BU103" s="831"/>
      <c r="BV103" s="274"/>
      <c r="BW103" s="274"/>
      <c r="BX103" s="274"/>
      <c r="BY103" s="274"/>
      <c r="BZ103" s="274"/>
      <c r="CA103" s="274"/>
      <c r="CB103" s="274"/>
      <c r="CC103" s="274"/>
      <c r="CD103" s="274"/>
      <c r="CE103" s="274"/>
      <c r="CF103" s="274"/>
      <c r="CG103" s="274"/>
      <c r="CH103" s="274"/>
      <c r="CI103" s="274"/>
      <c r="CJ103" s="266"/>
      <c r="CK103" s="166"/>
      <c r="CL103" s="166"/>
      <c r="CM103" s="166"/>
      <c r="CN103" s="166"/>
      <c r="CO103" s="166"/>
      <c r="CP103" s="166"/>
      <c r="CQ103" s="166"/>
      <c r="CR103" s="166"/>
      <c r="CS103" s="166"/>
      <c r="CT103" s="166"/>
      <c r="CU103" s="166"/>
      <c r="CV103" s="166"/>
      <c r="CW103" s="166"/>
      <c r="CX103" s="166"/>
      <c r="CY103" s="166"/>
      <c r="CZ103" s="166"/>
      <c r="DA103" s="166"/>
      <c r="DB103" s="166"/>
      <c r="DC103" s="266"/>
      <c r="DD103" s="166"/>
      <c r="DE103" s="166"/>
      <c r="DF103" s="166"/>
      <c r="DG103" s="166"/>
      <c r="DH103" s="166"/>
      <c r="DI103" s="166"/>
      <c r="DJ103" s="166"/>
      <c r="DK103" s="166"/>
      <c r="DL103" s="166"/>
      <c r="DM103" s="166"/>
      <c r="DN103" s="166"/>
      <c r="DO103" s="166"/>
    </row>
    <row r="104" spans="1:119" s="7" customFormat="1" ht="13.5" customHeight="1">
      <c r="A104" s="496"/>
      <c r="B104" s="496"/>
      <c r="C104" s="496"/>
      <c r="D104" s="496"/>
      <c r="E104" s="544"/>
      <c r="F104" s="544"/>
      <c r="G104" s="544"/>
      <c r="H104" s="544"/>
      <c r="I104" s="544"/>
      <c r="J104" s="544"/>
      <c r="K104" s="544"/>
      <c r="L104" s="544"/>
      <c r="M104" s="544"/>
      <c r="N104" s="544"/>
      <c r="O104" s="544"/>
      <c r="P104" s="544"/>
      <c r="Q104" s="544"/>
      <c r="R104" s="544"/>
      <c r="S104" s="544"/>
      <c r="T104" s="544"/>
      <c r="U104" s="275"/>
      <c r="V104" s="166"/>
      <c r="W104" s="166"/>
      <c r="X104" s="166"/>
      <c r="Y104" s="166"/>
      <c r="Z104" s="166"/>
      <c r="AA104" s="166"/>
      <c r="AB104" s="166"/>
      <c r="AC104" s="166"/>
      <c r="AD104" s="166"/>
      <c r="AE104" s="166"/>
      <c r="AF104" s="166"/>
      <c r="AG104" s="166"/>
      <c r="AH104" s="166"/>
      <c r="AI104" s="166"/>
      <c r="AJ104" s="166"/>
      <c r="AK104" s="166"/>
      <c r="AL104" s="266"/>
      <c r="AM104" s="166"/>
      <c r="AN104" s="166"/>
      <c r="AO104" s="166"/>
      <c r="AP104" s="166"/>
      <c r="AQ104" s="166"/>
      <c r="AR104" s="166"/>
      <c r="AS104" s="166"/>
      <c r="AT104" s="166"/>
      <c r="AU104" s="166"/>
      <c r="AV104" s="166"/>
      <c r="AW104" s="166"/>
      <c r="AX104" s="166"/>
      <c r="AY104" s="166"/>
      <c r="AZ104" s="166"/>
      <c r="BA104" s="166"/>
      <c r="BB104" s="266"/>
      <c r="BC104" s="166"/>
      <c r="BD104" s="166"/>
      <c r="BE104" s="166"/>
      <c r="BF104" s="166"/>
      <c r="BG104" s="166"/>
      <c r="BH104" s="166"/>
      <c r="BI104" s="166"/>
      <c r="BJ104" s="166"/>
      <c r="BK104" s="166"/>
      <c r="BL104" s="166"/>
      <c r="BM104" s="166"/>
      <c r="BN104" s="166"/>
      <c r="BO104" s="166"/>
      <c r="BP104" s="166"/>
      <c r="BQ104" s="166"/>
      <c r="BR104" s="166"/>
      <c r="BS104" s="266"/>
      <c r="BT104" s="266"/>
      <c r="BU104" s="831"/>
      <c r="BV104" s="274"/>
      <c r="BW104" s="274"/>
      <c r="BX104" s="274"/>
      <c r="BY104" s="274"/>
      <c r="BZ104" s="274"/>
      <c r="CA104" s="274"/>
      <c r="CB104" s="274"/>
      <c r="CC104" s="274"/>
      <c r="CD104" s="274"/>
      <c r="CE104" s="274"/>
      <c r="CF104" s="274"/>
      <c r="CG104" s="274"/>
      <c r="CH104" s="274"/>
      <c r="CI104" s="274"/>
      <c r="CJ104" s="266"/>
      <c r="CK104" s="166"/>
      <c r="CL104" s="166"/>
      <c r="CM104" s="166"/>
      <c r="CN104" s="166"/>
      <c r="CO104" s="166"/>
      <c r="CP104" s="166"/>
      <c r="CQ104" s="166"/>
      <c r="CR104" s="166"/>
      <c r="CS104" s="166"/>
      <c r="CT104" s="166"/>
      <c r="CU104" s="166"/>
      <c r="CV104" s="166"/>
      <c r="CW104" s="166"/>
      <c r="CX104" s="166"/>
      <c r="CY104" s="166"/>
      <c r="CZ104" s="166"/>
      <c r="DA104" s="166"/>
      <c r="DB104" s="166"/>
      <c r="DC104" s="266"/>
      <c r="DD104" s="166"/>
      <c r="DE104" s="166"/>
      <c r="DF104" s="166"/>
      <c r="DG104" s="166"/>
      <c r="DH104" s="166"/>
      <c r="DI104" s="166"/>
      <c r="DJ104" s="166"/>
      <c r="DK104" s="166"/>
      <c r="DL104" s="166"/>
      <c r="DM104" s="166"/>
      <c r="DN104" s="166"/>
      <c r="DO104" s="166"/>
    </row>
    <row r="105" spans="1:119" s="7" customFormat="1" ht="13.5" customHeight="1">
      <c r="A105" s="496"/>
      <c r="B105" s="496"/>
      <c r="C105" s="496"/>
      <c r="D105" s="496"/>
      <c r="E105" s="544"/>
      <c r="F105" s="544"/>
      <c r="G105" s="544"/>
      <c r="H105" s="544"/>
      <c r="I105" s="544"/>
      <c r="J105" s="544"/>
      <c r="K105" s="544"/>
      <c r="L105" s="544"/>
      <c r="M105" s="544"/>
      <c r="N105" s="544"/>
      <c r="O105" s="544"/>
      <c r="P105" s="544"/>
      <c r="Q105" s="544"/>
      <c r="R105" s="544"/>
      <c r="S105" s="544"/>
      <c r="T105" s="544"/>
      <c r="U105" s="275"/>
      <c r="V105" s="166"/>
      <c r="W105" s="166"/>
      <c r="X105" s="166"/>
      <c r="Y105" s="166"/>
      <c r="Z105" s="166"/>
      <c r="AA105" s="166"/>
      <c r="AB105" s="166"/>
      <c r="AC105" s="166"/>
      <c r="AD105" s="166"/>
      <c r="AE105" s="166"/>
      <c r="AF105" s="166"/>
      <c r="AG105" s="166"/>
      <c r="AH105" s="166"/>
      <c r="AI105" s="166"/>
      <c r="AJ105" s="166"/>
      <c r="AK105" s="166"/>
      <c r="AL105" s="266"/>
      <c r="AM105" s="166"/>
      <c r="AN105" s="166"/>
      <c r="AO105" s="166"/>
      <c r="AP105" s="166"/>
      <c r="AQ105" s="166"/>
      <c r="AR105" s="166"/>
      <c r="AS105" s="166"/>
      <c r="AT105" s="166"/>
      <c r="AU105" s="166"/>
      <c r="AV105" s="166"/>
      <c r="AW105" s="166"/>
      <c r="AX105" s="166"/>
      <c r="AY105" s="166"/>
      <c r="AZ105" s="166"/>
      <c r="BA105" s="166"/>
      <c r="BB105" s="266"/>
      <c r="BC105" s="166"/>
      <c r="BD105" s="166"/>
      <c r="BE105" s="166"/>
      <c r="BF105" s="166"/>
      <c r="BG105" s="166"/>
      <c r="BH105" s="166"/>
      <c r="BI105" s="166"/>
      <c r="BJ105" s="166"/>
      <c r="BK105" s="166"/>
      <c r="BL105" s="166"/>
      <c r="BM105" s="166"/>
      <c r="BN105" s="166"/>
      <c r="BO105" s="166"/>
      <c r="BP105" s="166"/>
      <c r="BQ105" s="166"/>
      <c r="BR105" s="166"/>
      <c r="BS105" s="266"/>
      <c r="BT105" s="266"/>
      <c r="BU105" s="831"/>
      <c r="BV105" s="266"/>
      <c r="BW105" s="266"/>
      <c r="BX105" s="266"/>
      <c r="BY105" s="266"/>
      <c r="BZ105" s="266"/>
      <c r="CA105" s="266"/>
      <c r="CB105" s="266"/>
      <c r="CC105" s="266"/>
      <c r="CD105" s="266"/>
      <c r="CE105" s="266"/>
      <c r="CF105" s="266"/>
      <c r="CG105" s="266"/>
      <c r="CH105" s="266"/>
      <c r="CI105" s="266"/>
      <c r="CJ105" s="266"/>
      <c r="CK105" s="166"/>
      <c r="CL105" s="166"/>
      <c r="CM105" s="166"/>
      <c r="CN105" s="166"/>
      <c r="CO105" s="166"/>
      <c r="CP105" s="166"/>
      <c r="CQ105" s="166"/>
      <c r="CR105" s="166"/>
      <c r="CS105" s="166"/>
      <c r="CT105" s="166"/>
      <c r="CU105" s="166"/>
      <c r="CV105" s="166"/>
      <c r="CW105" s="166"/>
      <c r="CX105" s="166"/>
      <c r="CY105" s="166"/>
      <c r="CZ105" s="166"/>
      <c r="DA105" s="166"/>
      <c r="DB105" s="166"/>
      <c r="DC105" s="266"/>
      <c r="DD105" s="166"/>
      <c r="DE105" s="166"/>
      <c r="DF105" s="166"/>
      <c r="DG105" s="166"/>
      <c r="DH105" s="166"/>
      <c r="DI105" s="166"/>
      <c r="DJ105" s="166"/>
      <c r="DK105" s="166"/>
      <c r="DL105" s="166"/>
      <c r="DM105" s="166"/>
      <c r="DN105" s="166"/>
      <c r="DO105" s="166"/>
    </row>
    <row r="106" spans="1:119" s="7" customFormat="1" ht="13.5" customHeight="1">
      <c r="A106" s="496"/>
      <c r="B106" s="496"/>
      <c r="C106" s="496"/>
      <c r="D106" s="496"/>
      <c r="E106" s="544"/>
      <c r="F106" s="544"/>
      <c r="G106" s="544"/>
      <c r="H106" s="544"/>
      <c r="I106" s="544"/>
      <c r="J106" s="544"/>
      <c r="K106" s="544"/>
      <c r="L106" s="544"/>
      <c r="M106" s="544"/>
      <c r="N106" s="544"/>
      <c r="O106" s="544"/>
      <c r="P106" s="544"/>
      <c r="Q106" s="544"/>
      <c r="R106" s="544"/>
      <c r="S106" s="544"/>
      <c r="T106" s="544"/>
      <c r="U106" s="275"/>
      <c r="V106" s="166"/>
      <c r="W106" s="166"/>
      <c r="X106" s="166"/>
      <c r="Y106" s="166"/>
      <c r="Z106" s="166"/>
      <c r="AA106" s="166"/>
      <c r="AB106" s="166"/>
      <c r="AC106" s="166"/>
      <c r="AD106" s="166"/>
      <c r="AE106" s="166"/>
      <c r="AF106" s="166"/>
      <c r="AG106" s="166"/>
      <c r="AH106" s="166"/>
      <c r="AI106" s="166"/>
      <c r="AJ106" s="166"/>
      <c r="AK106" s="166"/>
      <c r="AL106" s="266"/>
      <c r="AM106" s="166"/>
      <c r="AN106" s="166"/>
      <c r="AO106" s="166"/>
      <c r="AP106" s="166"/>
      <c r="AQ106" s="166"/>
      <c r="AR106" s="166"/>
      <c r="AS106" s="166"/>
      <c r="AT106" s="166"/>
      <c r="AU106" s="166"/>
      <c r="AV106" s="166"/>
      <c r="AW106" s="166"/>
      <c r="AX106" s="166"/>
      <c r="AY106" s="166"/>
      <c r="AZ106" s="166"/>
      <c r="BA106" s="166"/>
      <c r="BB106" s="266"/>
      <c r="BC106" s="166"/>
      <c r="BD106" s="166"/>
      <c r="BE106" s="166"/>
      <c r="BF106" s="166"/>
      <c r="BG106" s="166"/>
      <c r="BH106" s="166"/>
      <c r="BI106" s="166"/>
      <c r="BJ106" s="166"/>
      <c r="BK106" s="166"/>
      <c r="BL106" s="166"/>
      <c r="BM106" s="166"/>
      <c r="BN106" s="166"/>
      <c r="BO106" s="166"/>
      <c r="BP106" s="166"/>
      <c r="BQ106" s="166"/>
      <c r="BR106" s="166"/>
      <c r="BS106" s="266"/>
      <c r="BT106" s="266"/>
      <c r="BU106" s="831"/>
      <c r="BV106" s="266"/>
      <c r="BW106" s="266"/>
      <c r="BX106" s="266"/>
      <c r="BY106" s="266"/>
      <c r="BZ106" s="266"/>
      <c r="CA106" s="266"/>
      <c r="CB106" s="266"/>
      <c r="CC106" s="266"/>
      <c r="CD106" s="266"/>
      <c r="CE106" s="266"/>
      <c r="CF106" s="266"/>
      <c r="CG106" s="266"/>
      <c r="CH106" s="266"/>
      <c r="CI106" s="266"/>
      <c r="CJ106" s="266"/>
      <c r="CK106" s="166"/>
      <c r="CL106" s="166"/>
      <c r="CM106" s="166"/>
      <c r="CN106" s="166"/>
      <c r="CO106" s="166"/>
      <c r="CP106" s="166"/>
      <c r="CQ106" s="166"/>
      <c r="CR106" s="166"/>
      <c r="CS106" s="166"/>
      <c r="CT106" s="166"/>
      <c r="CU106" s="166"/>
      <c r="CV106" s="166"/>
      <c r="CW106" s="166"/>
      <c r="CX106" s="166"/>
      <c r="CY106" s="166"/>
      <c r="CZ106" s="166"/>
      <c r="DA106" s="166"/>
      <c r="DB106" s="166"/>
      <c r="DC106" s="266"/>
      <c r="DD106" s="166"/>
      <c r="DE106" s="166"/>
      <c r="DF106" s="166"/>
      <c r="DG106" s="166"/>
      <c r="DH106" s="166"/>
      <c r="DI106" s="166"/>
      <c r="DJ106" s="166"/>
      <c r="DK106" s="166"/>
      <c r="DL106" s="166"/>
      <c r="DM106" s="166"/>
      <c r="DN106" s="166"/>
      <c r="DO106" s="166"/>
    </row>
    <row r="107" spans="1:119" s="7" customFormat="1" ht="13.5" customHeight="1">
      <c r="A107" s="496"/>
      <c r="B107" s="496"/>
      <c r="C107" s="496"/>
      <c r="D107" s="496"/>
      <c r="E107" s="544"/>
      <c r="F107" s="544"/>
      <c r="G107" s="544"/>
      <c r="H107" s="544"/>
      <c r="I107" s="544"/>
      <c r="J107" s="544"/>
      <c r="K107" s="544"/>
      <c r="L107" s="544"/>
      <c r="M107" s="544"/>
      <c r="N107" s="544"/>
      <c r="O107" s="544"/>
      <c r="P107" s="544"/>
      <c r="Q107" s="544"/>
      <c r="R107" s="544"/>
      <c r="S107" s="544"/>
      <c r="T107" s="544"/>
      <c r="U107" s="275"/>
      <c r="V107" s="166"/>
      <c r="W107" s="166"/>
      <c r="X107" s="166"/>
      <c r="Y107" s="166"/>
      <c r="Z107" s="166"/>
      <c r="AA107" s="166"/>
      <c r="AB107" s="166"/>
      <c r="AC107" s="166"/>
      <c r="AD107" s="166"/>
      <c r="AE107" s="166"/>
      <c r="AF107" s="166"/>
      <c r="AG107" s="166"/>
      <c r="AH107" s="166"/>
      <c r="AI107" s="166"/>
      <c r="AJ107" s="166"/>
      <c r="AK107" s="166"/>
      <c r="AL107" s="266"/>
      <c r="AM107" s="166"/>
      <c r="AN107" s="166"/>
      <c r="AO107" s="166"/>
      <c r="AP107" s="166"/>
      <c r="AQ107" s="166"/>
      <c r="AR107" s="166"/>
      <c r="AS107" s="166"/>
      <c r="AT107" s="166"/>
      <c r="AU107" s="166"/>
      <c r="AV107" s="166"/>
      <c r="AW107" s="166"/>
      <c r="AX107" s="166"/>
      <c r="AY107" s="166"/>
      <c r="AZ107" s="166"/>
      <c r="BA107" s="166"/>
      <c r="BB107" s="266"/>
      <c r="BC107" s="166"/>
      <c r="BD107" s="166"/>
      <c r="BE107" s="166"/>
      <c r="BF107" s="166"/>
      <c r="BG107" s="166"/>
      <c r="BH107" s="166"/>
      <c r="BI107" s="166"/>
      <c r="BJ107" s="166"/>
      <c r="BK107" s="166"/>
      <c r="BL107" s="166"/>
      <c r="BM107" s="166"/>
      <c r="BN107" s="166"/>
      <c r="BO107" s="166"/>
      <c r="BP107" s="166"/>
      <c r="BQ107" s="166"/>
      <c r="BR107" s="166"/>
      <c r="BS107" s="266"/>
      <c r="BT107" s="266"/>
      <c r="BU107" s="831"/>
      <c r="BV107" s="266"/>
      <c r="BW107" s="266"/>
      <c r="BX107" s="266"/>
      <c r="BY107" s="266"/>
      <c r="BZ107" s="266"/>
      <c r="CA107" s="266"/>
      <c r="CB107" s="266"/>
      <c r="CC107" s="266"/>
      <c r="CD107" s="266"/>
      <c r="CE107" s="266"/>
      <c r="CF107" s="266"/>
      <c r="CG107" s="266"/>
      <c r="CH107" s="266"/>
      <c r="CI107" s="266"/>
      <c r="CJ107" s="266"/>
      <c r="CK107" s="166"/>
      <c r="CL107" s="166"/>
      <c r="CM107" s="166"/>
      <c r="CN107" s="166"/>
      <c r="CO107" s="166"/>
      <c r="CP107" s="166"/>
      <c r="CQ107" s="166"/>
      <c r="CR107" s="166"/>
      <c r="CS107" s="166"/>
      <c r="CT107" s="166"/>
      <c r="CU107" s="166"/>
      <c r="CV107" s="166"/>
      <c r="CW107" s="166"/>
      <c r="CX107" s="166"/>
      <c r="CY107" s="166"/>
      <c r="CZ107" s="166"/>
      <c r="DA107" s="166"/>
      <c r="DB107" s="166"/>
      <c r="DC107" s="266"/>
      <c r="DD107" s="166"/>
      <c r="DE107" s="166"/>
      <c r="DF107" s="166"/>
      <c r="DG107" s="166"/>
      <c r="DH107" s="166"/>
      <c r="DI107" s="166"/>
      <c r="DJ107" s="166"/>
      <c r="DK107" s="166"/>
      <c r="DL107" s="166"/>
      <c r="DM107" s="166"/>
      <c r="DN107" s="166"/>
      <c r="DO107" s="166"/>
    </row>
    <row r="108" spans="1:119" s="7" customFormat="1" ht="13.5" customHeight="1">
      <c r="A108" s="496"/>
      <c r="B108" s="496"/>
      <c r="C108" s="496"/>
      <c r="D108" s="496"/>
      <c r="E108" s="544"/>
      <c r="F108" s="544"/>
      <c r="G108" s="544"/>
      <c r="H108" s="544"/>
      <c r="I108" s="544"/>
      <c r="J108" s="544"/>
      <c r="K108" s="544"/>
      <c r="L108" s="544"/>
      <c r="M108" s="544"/>
      <c r="N108" s="544"/>
      <c r="O108" s="544"/>
      <c r="P108" s="544"/>
      <c r="Q108" s="544"/>
      <c r="R108" s="544"/>
      <c r="S108" s="544"/>
      <c r="T108" s="544"/>
      <c r="U108" s="275"/>
      <c r="V108" s="166"/>
      <c r="W108" s="166"/>
      <c r="X108" s="166"/>
      <c r="Y108" s="166"/>
      <c r="Z108" s="166"/>
      <c r="AA108" s="166"/>
      <c r="AB108" s="166"/>
      <c r="AC108" s="166"/>
      <c r="AD108" s="166"/>
      <c r="AE108" s="166"/>
      <c r="AF108" s="166"/>
      <c r="AG108" s="166"/>
      <c r="AH108" s="166"/>
      <c r="AI108" s="266"/>
      <c r="AJ108" s="266"/>
      <c r="AK108" s="266"/>
      <c r="AL108" s="266"/>
      <c r="AM108" s="166"/>
      <c r="AN108" s="166"/>
      <c r="AO108" s="166"/>
      <c r="AP108" s="166"/>
      <c r="AQ108" s="166"/>
      <c r="AR108" s="166"/>
      <c r="AS108" s="166"/>
      <c r="AT108" s="166"/>
      <c r="AU108" s="166"/>
      <c r="AV108" s="166"/>
      <c r="AW108" s="166"/>
      <c r="AX108" s="166"/>
      <c r="AY108" s="166"/>
      <c r="AZ108" s="166"/>
      <c r="BA108" s="166"/>
      <c r="BB108" s="266"/>
      <c r="BC108" s="166"/>
      <c r="BD108" s="166"/>
      <c r="BE108" s="166"/>
      <c r="BF108" s="166"/>
      <c r="BG108" s="166"/>
      <c r="BH108" s="166"/>
      <c r="BI108" s="166"/>
      <c r="BJ108" s="166"/>
      <c r="BK108" s="166"/>
      <c r="BL108" s="166"/>
      <c r="BM108" s="166"/>
      <c r="BN108" s="166"/>
      <c r="BO108" s="166"/>
      <c r="BP108" s="166"/>
      <c r="BQ108" s="166"/>
      <c r="BR108" s="166"/>
      <c r="BS108" s="266"/>
      <c r="BT108" s="266"/>
      <c r="BU108" s="831"/>
      <c r="BV108" s="266"/>
      <c r="BW108" s="266"/>
      <c r="BX108" s="266"/>
      <c r="BY108" s="266"/>
      <c r="BZ108" s="266"/>
      <c r="CA108" s="266"/>
      <c r="CB108" s="266"/>
      <c r="CC108" s="266"/>
      <c r="CD108" s="266"/>
      <c r="CE108" s="266"/>
      <c r="CF108" s="266"/>
      <c r="CG108" s="266"/>
      <c r="CH108" s="266"/>
      <c r="CI108" s="266"/>
      <c r="CJ108" s="266"/>
      <c r="CK108" s="166"/>
      <c r="CL108" s="166"/>
      <c r="CM108" s="166"/>
      <c r="CN108" s="166"/>
      <c r="CO108" s="166"/>
      <c r="CP108" s="166"/>
      <c r="CQ108" s="166"/>
      <c r="CR108" s="166"/>
      <c r="CS108" s="166"/>
      <c r="CT108" s="166"/>
      <c r="CU108" s="166"/>
      <c r="CV108" s="166"/>
      <c r="CW108" s="166"/>
      <c r="CX108" s="166"/>
      <c r="CY108" s="166"/>
      <c r="CZ108" s="166"/>
      <c r="DA108" s="166"/>
      <c r="DB108" s="166"/>
      <c r="DC108" s="266"/>
      <c r="DD108" s="166"/>
      <c r="DE108" s="166"/>
      <c r="DF108" s="166"/>
      <c r="DG108" s="166"/>
      <c r="DH108" s="166"/>
      <c r="DI108" s="166"/>
      <c r="DJ108" s="166"/>
      <c r="DK108" s="166"/>
      <c r="DL108" s="166"/>
      <c r="DM108" s="166"/>
      <c r="DN108" s="166"/>
      <c r="DO108" s="166"/>
    </row>
    <row r="109" spans="1:119" s="7" customFormat="1" ht="13.5" customHeight="1">
      <c r="A109" s="496"/>
      <c r="B109" s="496"/>
      <c r="C109" s="496"/>
      <c r="D109" s="496"/>
      <c r="E109" s="544"/>
      <c r="F109" s="544"/>
      <c r="G109" s="544"/>
      <c r="H109" s="544"/>
      <c r="I109" s="544"/>
      <c r="J109" s="544"/>
      <c r="K109" s="544"/>
      <c r="L109" s="544"/>
      <c r="M109" s="544"/>
      <c r="N109" s="544"/>
      <c r="O109" s="544"/>
      <c r="P109" s="544"/>
      <c r="Q109" s="544"/>
      <c r="R109" s="544"/>
      <c r="S109" s="544"/>
      <c r="T109" s="544"/>
      <c r="U109" s="275"/>
      <c r="V109" s="166"/>
      <c r="W109" s="166"/>
      <c r="X109" s="166"/>
      <c r="Y109" s="166"/>
      <c r="Z109" s="166"/>
      <c r="AA109" s="166"/>
      <c r="AB109" s="166"/>
      <c r="AC109" s="166"/>
      <c r="AD109" s="166"/>
      <c r="AE109" s="166"/>
      <c r="AF109" s="166"/>
      <c r="AG109" s="166"/>
      <c r="AH109" s="166"/>
      <c r="AI109" s="266"/>
      <c r="AJ109" s="266"/>
      <c r="AK109" s="266"/>
      <c r="AL109" s="266"/>
      <c r="AM109" s="166"/>
      <c r="AN109" s="166"/>
      <c r="AO109" s="166"/>
      <c r="AP109" s="166"/>
      <c r="AQ109" s="166"/>
      <c r="AR109" s="166"/>
      <c r="AS109" s="166"/>
      <c r="AT109" s="166"/>
      <c r="AU109" s="166"/>
      <c r="AV109" s="166"/>
      <c r="AW109" s="166"/>
      <c r="AX109" s="166"/>
      <c r="AY109" s="166"/>
      <c r="AZ109" s="166"/>
      <c r="BA109" s="166"/>
      <c r="BB109" s="266"/>
      <c r="BC109" s="166"/>
      <c r="BD109" s="166"/>
      <c r="BE109" s="166"/>
      <c r="BF109" s="166"/>
      <c r="BG109" s="166"/>
      <c r="BH109" s="166"/>
      <c r="BI109" s="166"/>
      <c r="BJ109" s="166"/>
      <c r="BK109" s="166"/>
      <c r="BL109" s="166"/>
      <c r="BM109" s="166"/>
      <c r="BN109" s="166"/>
      <c r="BO109" s="166"/>
      <c r="BP109" s="166"/>
      <c r="BQ109" s="166"/>
      <c r="BR109" s="166"/>
      <c r="BS109" s="266"/>
      <c r="BT109" s="266"/>
      <c r="BU109" s="831"/>
      <c r="BV109" s="266"/>
      <c r="BW109" s="266"/>
      <c r="BX109" s="266"/>
      <c r="BY109" s="266"/>
      <c r="BZ109" s="266"/>
      <c r="CA109" s="266"/>
      <c r="CB109" s="266"/>
      <c r="CC109" s="266"/>
      <c r="CD109" s="266"/>
      <c r="CE109" s="266"/>
      <c r="CF109" s="266"/>
      <c r="CG109" s="266"/>
      <c r="CH109" s="266"/>
      <c r="CI109" s="266"/>
      <c r="CJ109" s="266"/>
      <c r="CK109" s="166"/>
      <c r="CL109" s="166"/>
      <c r="CM109" s="166"/>
      <c r="CN109" s="166"/>
      <c r="CO109" s="166"/>
      <c r="CP109" s="166"/>
      <c r="CQ109" s="166"/>
      <c r="CR109" s="166"/>
      <c r="CS109" s="166"/>
      <c r="CT109" s="166"/>
      <c r="CU109" s="166"/>
      <c r="CV109" s="166"/>
      <c r="CW109" s="166"/>
      <c r="CX109" s="166"/>
      <c r="CY109" s="166"/>
      <c r="CZ109" s="166"/>
      <c r="DA109" s="166"/>
      <c r="DB109" s="166"/>
      <c r="DC109" s="266"/>
      <c r="DD109" s="166"/>
      <c r="DE109" s="166"/>
      <c r="DF109" s="166"/>
      <c r="DG109" s="166"/>
      <c r="DH109" s="166"/>
      <c r="DI109" s="166"/>
      <c r="DJ109" s="166"/>
      <c r="DK109" s="166"/>
      <c r="DL109" s="166"/>
      <c r="DM109" s="166"/>
      <c r="DN109" s="166"/>
      <c r="DO109" s="166"/>
    </row>
    <row r="110" spans="1:119" ht="13.5" customHeight="1">
      <c r="A110" s="496"/>
      <c r="B110" s="496"/>
      <c r="C110" s="496"/>
      <c r="D110" s="496"/>
      <c r="E110" s="544"/>
      <c r="F110" s="544"/>
      <c r="G110" s="544"/>
      <c r="H110" s="544"/>
      <c r="I110" s="544"/>
      <c r="J110" s="544"/>
      <c r="K110" s="544"/>
      <c r="L110" s="544"/>
      <c r="M110" s="544"/>
      <c r="N110" s="544"/>
      <c r="O110" s="544"/>
      <c r="P110" s="544"/>
      <c r="Q110" s="544"/>
      <c r="R110" s="544"/>
      <c r="S110" s="544"/>
      <c r="T110" s="544"/>
      <c r="U110" s="275"/>
      <c r="V110" s="166"/>
      <c r="W110" s="166"/>
      <c r="X110" s="166"/>
      <c r="Y110" s="166"/>
      <c r="Z110" s="166"/>
      <c r="AA110" s="166"/>
      <c r="AB110" s="166"/>
      <c r="AC110" s="166"/>
      <c r="AD110" s="166"/>
      <c r="AE110" s="166"/>
      <c r="AF110" s="166"/>
      <c r="AG110" s="166"/>
      <c r="AH110" s="166"/>
      <c r="AI110" s="266"/>
      <c r="AJ110" s="266"/>
      <c r="AK110" s="266"/>
      <c r="AL110" s="266"/>
      <c r="AM110" s="166"/>
      <c r="AN110" s="166"/>
      <c r="AO110" s="166"/>
      <c r="AP110" s="166"/>
      <c r="AQ110" s="166"/>
      <c r="AR110" s="166"/>
      <c r="AS110" s="166"/>
      <c r="AT110" s="166"/>
      <c r="AU110" s="166"/>
      <c r="AV110" s="166"/>
      <c r="AW110" s="166"/>
      <c r="AX110" s="166"/>
      <c r="AY110" s="166"/>
      <c r="AZ110" s="166"/>
      <c r="BA110" s="166"/>
      <c r="BB110" s="266"/>
      <c r="BC110" s="166"/>
      <c r="BD110" s="166"/>
      <c r="BE110" s="166"/>
      <c r="BF110" s="166"/>
      <c r="BG110" s="166"/>
      <c r="BH110" s="166"/>
      <c r="BI110" s="166"/>
      <c r="BJ110" s="166"/>
      <c r="BK110" s="166"/>
      <c r="BL110" s="166"/>
      <c r="BM110" s="166"/>
      <c r="BN110" s="166"/>
      <c r="BO110" s="166"/>
      <c r="BP110" s="166"/>
      <c r="BQ110" s="166"/>
      <c r="BR110" s="166"/>
      <c r="BS110" s="266"/>
      <c r="BT110" s="266"/>
      <c r="BU110" s="831"/>
      <c r="BV110" s="266"/>
      <c r="BW110" s="266"/>
      <c r="BX110" s="266"/>
      <c r="BY110" s="266"/>
      <c r="BZ110" s="266"/>
      <c r="CA110" s="266"/>
      <c r="CB110" s="266"/>
      <c r="CC110" s="266"/>
      <c r="CD110" s="266"/>
      <c r="CE110" s="266"/>
      <c r="CF110" s="266"/>
      <c r="CG110" s="266"/>
      <c r="CH110" s="266"/>
      <c r="CI110" s="266"/>
      <c r="CJ110" s="266"/>
      <c r="CK110" s="166"/>
      <c r="CL110" s="166"/>
      <c r="CM110" s="166"/>
      <c r="CN110" s="166"/>
      <c r="CO110" s="166"/>
      <c r="CP110" s="166"/>
      <c r="CQ110" s="166"/>
      <c r="CR110" s="166"/>
      <c r="CS110" s="166"/>
      <c r="CT110" s="166"/>
      <c r="CU110" s="166"/>
      <c r="CV110" s="166"/>
      <c r="CW110" s="166"/>
      <c r="CX110" s="166"/>
      <c r="CY110" s="166"/>
      <c r="CZ110" s="166"/>
      <c r="DA110" s="166"/>
      <c r="DB110" s="166"/>
      <c r="DC110" s="266"/>
      <c r="DD110" s="166"/>
      <c r="DE110" s="166"/>
      <c r="DF110" s="166"/>
      <c r="DG110" s="166"/>
      <c r="DH110" s="166"/>
      <c r="DI110" s="166"/>
      <c r="DJ110" s="166"/>
      <c r="DK110" s="166"/>
      <c r="DL110" s="166"/>
      <c r="DM110" s="166"/>
      <c r="DN110" s="166"/>
      <c r="DO110" s="166"/>
    </row>
    <row r="111" spans="1:119" ht="13.5" customHeight="1">
      <c r="A111" s="496"/>
      <c r="B111" s="496"/>
      <c r="C111" s="496"/>
      <c r="D111" s="496"/>
      <c r="E111" s="544"/>
      <c r="F111" s="544"/>
      <c r="G111" s="544"/>
      <c r="H111" s="544"/>
      <c r="I111" s="544"/>
      <c r="J111" s="544"/>
      <c r="K111" s="544"/>
      <c r="L111" s="544"/>
      <c r="M111" s="544"/>
      <c r="N111" s="544"/>
      <c r="O111" s="544"/>
      <c r="P111" s="544"/>
      <c r="Q111" s="544"/>
      <c r="R111" s="544"/>
      <c r="S111" s="544"/>
      <c r="T111" s="544"/>
      <c r="U111" s="275"/>
      <c r="V111" s="166"/>
      <c r="W111" s="166"/>
      <c r="X111" s="166"/>
      <c r="Y111" s="166"/>
      <c r="Z111" s="166"/>
      <c r="AA111" s="166"/>
      <c r="AB111" s="166"/>
      <c r="AC111" s="166"/>
      <c r="AD111" s="166"/>
      <c r="AE111" s="166"/>
      <c r="AF111" s="166"/>
      <c r="AG111" s="166"/>
      <c r="AH111" s="166"/>
      <c r="AI111" s="266"/>
      <c r="AJ111" s="266"/>
      <c r="AK111" s="266"/>
      <c r="AL111" s="266"/>
      <c r="AM111" s="166"/>
      <c r="AN111" s="166"/>
      <c r="AO111" s="166"/>
      <c r="AP111" s="166"/>
      <c r="AQ111" s="166"/>
      <c r="AR111" s="166"/>
      <c r="AS111" s="166"/>
      <c r="AT111" s="166"/>
      <c r="AU111" s="166"/>
      <c r="AV111" s="166"/>
      <c r="AW111" s="166"/>
      <c r="AX111" s="166"/>
      <c r="AY111" s="166"/>
      <c r="AZ111" s="166"/>
      <c r="BA111" s="166"/>
      <c r="BB111" s="266"/>
      <c r="BC111" s="166"/>
      <c r="BD111" s="166"/>
      <c r="BE111" s="166"/>
      <c r="BF111" s="166"/>
      <c r="BG111" s="166"/>
      <c r="BH111" s="166"/>
      <c r="BI111" s="166"/>
      <c r="BJ111" s="166"/>
      <c r="BK111" s="166"/>
      <c r="BL111" s="166"/>
      <c r="BM111" s="166"/>
      <c r="BN111" s="166"/>
      <c r="BO111" s="166"/>
      <c r="BP111" s="166"/>
      <c r="BQ111" s="166"/>
      <c r="BR111" s="166"/>
      <c r="BS111" s="266"/>
      <c r="BT111" s="266"/>
      <c r="BU111" s="831"/>
      <c r="BV111" s="266"/>
      <c r="BW111" s="266"/>
      <c r="BX111" s="266"/>
      <c r="BY111" s="266"/>
      <c r="BZ111" s="266"/>
      <c r="CA111" s="266"/>
      <c r="CB111" s="266"/>
      <c r="CC111" s="266"/>
      <c r="CD111" s="266"/>
      <c r="CE111" s="266"/>
      <c r="CF111" s="266"/>
      <c r="CG111" s="266"/>
      <c r="CH111" s="266"/>
      <c r="CI111" s="266"/>
      <c r="CJ111" s="266"/>
      <c r="CK111" s="166"/>
      <c r="CL111" s="166"/>
      <c r="CM111" s="166"/>
      <c r="CN111" s="166"/>
      <c r="CO111" s="166"/>
      <c r="CP111" s="166"/>
      <c r="CQ111" s="166"/>
      <c r="CR111" s="166"/>
      <c r="CS111" s="166"/>
      <c r="CT111" s="166"/>
      <c r="CU111" s="166"/>
      <c r="CV111" s="166"/>
      <c r="CW111" s="166"/>
      <c r="CX111" s="166"/>
      <c r="CY111" s="166"/>
      <c r="CZ111" s="166"/>
      <c r="DA111" s="166"/>
      <c r="DB111" s="166"/>
      <c r="DC111" s="266"/>
      <c r="DD111" s="166"/>
      <c r="DE111" s="166"/>
      <c r="DF111" s="166"/>
      <c r="DG111" s="166"/>
      <c r="DH111" s="166"/>
      <c r="DI111" s="166"/>
      <c r="DJ111" s="166"/>
      <c r="DK111" s="166"/>
      <c r="DL111" s="166"/>
      <c r="DM111" s="166"/>
      <c r="DN111" s="166"/>
      <c r="DO111" s="166"/>
    </row>
    <row r="112" spans="1:119" ht="13.5" customHeight="1">
      <c r="A112" s="496"/>
      <c r="B112" s="496"/>
      <c r="C112" s="496"/>
      <c r="D112" s="496"/>
      <c r="E112" s="544"/>
      <c r="F112" s="544"/>
      <c r="G112" s="544"/>
      <c r="H112" s="544"/>
      <c r="I112" s="544"/>
      <c r="J112" s="544"/>
      <c r="K112" s="544"/>
      <c r="L112" s="544"/>
      <c r="M112" s="544"/>
      <c r="N112" s="544"/>
      <c r="O112" s="544"/>
      <c r="P112" s="544"/>
      <c r="Q112" s="544"/>
      <c r="R112" s="544"/>
      <c r="S112" s="544"/>
      <c r="T112" s="544"/>
      <c r="U112" s="275"/>
      <c r="V112" s="166"/>
      <c r="W112" s="166"/>
      <c r="X112" s="166"/>
      <c r="Y112" s="166"/>
      <c r="Z112" s="166"/>
      <c r="AA112" s="166"/>
      <c r="AB112" s="166"/>
      <c r="AC112" s="166"/>
      <c r="AD112" s="166"/>
      <c r="AE112" s="166"/>
      <c r="AF112" s="166"/>
      <c r="AG112" s="166"/>
      <c r="AH112" s="166"/>
      <c r="AI112" s="266"/>
      <c r="AJ112" s="266"/>
      <c r="AK112" s="266"/>
      <c r="AL112" s="266"/>
      <c r="AM112" s="166"/>
      <c r="AN112" s="166"/>
      <c r="AO112" s="166"/>
      <c r="AP112" s="166"/>
      <c r="AQ112" s="166"/>
      <c r="AR112" s="166"/>
      <c r="AS112" s="166"/>
      <c r="AT112" s="166"/>
      <c r="AU112" s="166"/>
      <c r="AV112" s="166"/>
      <c r="AW112" s="166"/>
      <c r="AX112" s="166"/>
      <c r="AY112" s="166"/>
      <c r="AZ112" s="166"/>
      <c r="BA112" s="166"/>
      <c r="BB112" s="266"/>
      <c r="BC112" s="166"/>
      <c r="BD112" s="166"/>
      <c r="BE112" s="166"/>
      <c r="BF112" s="166"/>
      <c r="BG112" s="166"/>
      <c r="BH112" s="166"/>
      <c r="BI112" s="166"/>
      <c r="BJ112" s="166"/>
      <c r="BK112" s="166"/>
      <c r="BL112" s="166"/>
      <c r="BM112" s="166"/>
      <c r="BN112" s="166"/>
      <c r="BO112" s="166"/>
      <c r="BP112" s="166"/>
      <c r="BQ112" s="166"/>
      <c r="BR112" s="166"/>
      <c r="BS112" s="266"/>
      <c r="BT112" s="266"/>
      <c r="BU112" s="831"/>
      <c r="BV112" s="266"/>
      <c r="BW112" s="266"/>
      <c r="BX112" s="266"/>
      <c r="BY112" s="266"/>
      <c r="BZ112" s="266"/>
      <c r="CA112" s="266"/>
      <c r="CB112" s="266"/>
      <c r="CC112" s="266"/>
      <c r="CD112" s="266"/>
      <c r="CE112" s="266"/>
      <c r="CF112" s="266"/>
      <c r="CG112" s="266"/>
      <c r="CH112" s="266"/>
      <c r="CI112" s="266"/>
      <c r="CJ112" s="266"/>
      <c r="CK112" s="166"/>
      <c r="CL112" s="166"/>
      <c r="CM112" s="166"/>
      <c r="CN112" s="166"/>
      <c r="CO112" s="166"/>
      <c r="CP112" s="166"/>
      <c r="CQ112" s="166"/>
      <c r="CR112" s="166"/>
      <c r="CS112" s="166"/>
      <c r="CT112" s="166"/>
      <c r="CU112" s="166"/>
      <c r="CV112" s="166"/>
      <c r="CW112" s="166"/>
      <c r="CX112" s="166"/>
      <c r="CY112" s="166"/>
      <c r="CZ112" s="166"/>
      <c r="DA112" s="166"/>
      <c r="DB112" s="166"/>
      <c r="DC112" s="266"/>
      <c r="DD112" s="166"/>
      <c r="DE112" s="166"/>
      <c r="DF112" s="166"/>
      <c r="DG112" s="166"/>
      <c r="DH112" s="166"/>
      <c r="DI112" s="166"/>
      <c r="DJ112" s="166"/>
      <c r="DK112" s="166"/>
      <c r="DL112" s="166"/>
      <c r="DM112" s="166"/>
      <c r="DN112" s="166"/>
      <c r="DO112" s="166"/>
    </row>
    <row r="113" spans="1:119" ht="13.5" customHeight="1">
      <c r="A113" s="496"/>
      <c r="B113" s="496"/>
      <c r="C113" s="496"/>
      <c r="D113" s="496"/>
      <c r="E113" s="544"/>
      <c r="F113" s="544"/>
      <c r="G113" s="544"/>
      <c r="H113" s="544"/>
      <c r="I113" s="544"/>
      <c r="J113" s="544"/>
      <c r="K113" s="544"/>
      <c r="L113" s="544"/>
      <c r="M113" s="544"/>
      <c r="N113" s="544"/>
      <c r="O113" s="544"/>
      <c r="P113" s="544"/>
      <c r="Q113" s="544"/>
      <c r="R113" s="544"/>
      <c r="S113" s="544"/>
      <c r="T113" s="544"/>
      <c r="U113" s="275"/>
      <c r="V113" s="166"/>
      <c r="W113" s="166"/>
      <c r="X113" s="166"/>
      <c r="Y113" s="166"/>
      <c r="Z113" s="166"/>
      <c r="AA113" s="166"/>
      <c r="AB113" s="166"/>
      <c r="AC113" s="166"/>
      <c r="AD113" s="166"/>
      <c r="AE113" s="166"/>
      <c r="AF113" s="166"/>
      <c r="AG113" s="166"/>
      <c r="AH113" s="166"/>
      <c r="AI113" s="266"/>
      <c r="AJ113" s="266"/>
      <c r="AK113" s="266"/>
      <c r="AL113" s="266"/>
      <c r="AM113" s="166"/>
      <c r="AN113" s="166"/>
      <c r="AO113" s="166"/>
      <c r="AP113" s="166"/>
      <c r="AQ113" s="166"/>
      <c r="AR113" s="166"/>
      <c r="AS113" s="166"/>
      <c r="AT113" s="166"/>
      <c r="AU113" s="166"/>
      <c r="AV113" s="166"/>
      <c r="AW113" s="166"/>
      <c r="AX113" s="166"/>
      <c r="AY113" s="166"/>
      <c r="AZ113" s="166"/>
      <c r="BA113" s="166"/>
      <c r="BB113" s="266"/>
      <c r="BC113" s="166"/>
      <c r="BD113" s="166"/>
      <c r="BE113" s="166"/>
      <c r="BF113" s="166"/>
      <c r="BG113" s="166"/>
      <c r="BH113" s="166"/>
      <c r="BI113" s="166"/>
      <c r="BJ113" s="166"/>
      <c r="BK113" s="166"/>
      <c r="BL113" s="166"/>
      <c r="BM113" s="166"/>
      <c r="BN113" s="166"/>
      <c r="BO113" s="166"/>
      <c r="BP113" s="166"/>
      <c r="BQ113" s="166"/>
      <c r="BR113" s="166"/>
      <c r="BS113" s="266"/>
      <c r="BT113" s="266"/>
      <c r="BU113" s="831"/>
      <c r="BV113" s="266"/>
      <c r="BW113" s="266"/>
      <c r="BX113" s="266"/>
      <c r="BY113" s="266"/>
      <c r="BZ113" s="266"/>
      <c r="CA113" s="266"/>
      <c r="CB113" s="266"/>
      <c r="CC113" s="266"/>
      <c r="CD113" s="266"/>
      <c r="CE113" s="266"/>
      <c r="CF113" s="266"/>
      <c r="CG113" s="266"/>
      <c r="CH113" s="266"/>
      <c r="CI113" s="266"/>
      <c r="CJ113" s="266"/>
      <c r="CK113" s="166"/>
      <c r="CL113" s="166"/>
      <c r="CM113" s="166"/>
      <c r="CN113" s="166"/>
      <c r="CO113" s="166"/>
      <c r="CP113" s="166"/>
      <c r="CQ113" s="166"/>
      <c r="CR113" s="166"/>
      <c r="CS113" s="166"/>
      <c r="CT113" s="166"/>
      <c r="CU113" s="166"/>
      <c r="CV113" s="166"/>
      <c r="CW113" s="166"/>
      <c r="CX113" s="166"/>
      <c r="CY113" s="166"/>
      <c r="CZ113" s="166"/>
      <c r="DA113" s="166"/>
      <c r="DB113" s="166"/>
      <c r="DC113" s="266"/>
      <c r="DD113" s="166"/>
      <c r="DE113" s="166"/>
      <c r="DF113" s="166"/>
      <c r="DG113" s="166"/>
      <c r="DH113" s="166"/>
      <c r="DI113" s="166"/>
      <c r="DJ113" s="166"/>
      <c r="DK113" s="166"/>
      <c r="DL113" s="166"/>
      <c r="DM113" s="166"/>
      <c r="DN113" s="166"/>
      <c r="DO113" s="166"/>
    </row>
    <row r="114" spans="1:119" ht="13.5" customHeight="1">
      <c r="A114" s="496"/>
      <c r="B114" s="496"/>
      <c r="C114" s="496"/>
      <c r="D114" s="496"/>
      <c r="E114" s="544"/>
      <c r="F114" s="544"/>
      <c r="G114" s="544"/>
      <c r="H114" s="544"/>
      <c r="I114" s="544"/>
      <c r="J114" s="544"/>
      <c r="K114" s="544"/>
      <c r="L114" s="544"/>
      <c r="M114" s="544"/>
      <c r="N114" s="544"/>
      <c r="O114" s="544"/>
      <c r="P114" s="544"/>
      <c r="Q114" s="544"/>
      <c r="R114" s="544"/>
      <c r="S114" s="544"/>
      <c r="T114" s="544"/>
      <c r="U114" s="275"/>
      <c r="V114" s="166"/>
      <c r="W114" s="166"/>
      <c r="X114" s="166"/>
      <c r="Y114" s="166"/>
      <c r="Z114" s="166"/>
      <c r="AA114" s="166"/>
      <c r="AB114" s="166"/>
      <c r="AC114" s="166"/>
      <c r="AD114" s="166"/>
      <c r="AE114" s="166"/>
      <c r="AF114" s="166"/>
      <c r="AG114" s="166"/>
      <c r="AH114" s="166"/>
      <c r="AI114" s="266"/>
      <c r="AJ114" s="266"/>
      <c r="AK114" s="266"/>
      <c r="AL114" s="266"/>
      <c r="AM114" s="166"/>
      <c r="AN114" s="166"/>
      <c r="AO114" s="166"/>
      <c r="AP114" s="166"/>
      <c r="AQ114" s="166"/>
      <c r="AR114" s="166"/>
      <c r="AS114" s="166"/>
      <c r="AT114" s="166"/>
      <c r="AU114" s="166"/>
      <c r="AV114" s="166"/>
      <c r="AW114" s="166"/>
      <c r="AX114" s="166"/>
      <c r="AY114" s="166"/>
      <c r="AZ114" s="166"/>
      <c r="BA114" s="166"/>
      <c r="BB114" s="266"/>
      <c r="BC114" s="166"/>
      <c r="BD114" s="166"/>
      <c r="BE114" s="166"/>
      <c r="BF114" s="166"/>
      <c r="BG114" s="166"/>
      <c r="BH114" s="166"/>
      <c r="BI114" s="166"/>
      <c r="BJ114" s="166"/>
      <c r="BK114" s="166"/>
      <c r="BL114" s="166"/>
      <c r="BM114" s="166"/>
      <c r="BN114" s="166"/>
      <c r="BO114" s="166"/>
      <c r="BP114" s="166"/>
      <c r="BQ114" s="166"/>
      <c r="BR114" s="166"/>
      <c r="BS114" s="266"/>
      <c r="BT114" s="266"/>
      <c r="BU114" s="831"/>
      <c r="BV114" s="266"/>
      <c r="BW114" s="266"/>
      <c r="BX114" s="266"/>
      <c r="BY114" s="266"/>
      <c r="BZ114" s="266"/>
      <c r="CA114" s="266"/>
      <c r="CB114" s="266"/>
      <c r="CC114" s="266"/>
      <c r="CD114" s="266"/>
      <c r="CE114" s="266"/>
      <c r="CF114" s="266"/>
      <c r="CG114" s="266"/>
      <c r="CH114" s="266"/>
      <c r="CI114" s="266"/>
      <c r="CJ114" s="266"/>
      <c r="CK114" s="166"/>
      <c r="CL114" s="166"/>
      <c r="CM114" s="166"/>
      <c r="CN114" s="166"/>
      <c r="CO114" s="166"/>
      <c r="CP114" s="166"/>
      <c r="CQ114" s="166"/>
      <c r="CR114" s="166"/>
      <c r="CS114" s="166"/>
      <c r="CT114" s="166"/>
      <c r="CU114" s="166"/>
      <c r="CV114" s="166"/>
      <c r="CW114" s="166"/>
      <c r="CX114" s="166"/>
      <c r="CY114" s="166"/>
      <c r="CZ114" s="166"/>
      <c r="DA114" s="166"/>
      <c r="DB114" s="166"/>
      <c r="DC114" s="266"/>
      <c r="DD114" s="166"/>
      <c r="DE114" s="166"/>
      <c r="DF114" s="166"/>
      <c r="DG114" s="166"/>
      <c r="DH114" s="166"/>
      <c r="DI114" s="166"/>
      <c r="DJ114" s="166"/>
      <c r="DK114" s="166"/>
      <c r="DL114" s="166"/>
      <c r="DM114" s="166"/>
      <c r="DN114" s="166"/>
      <c r="DO114" s="166"/>
    </row>
    <row r="115" spans="1:119" ht="13.5" customHeight="1">
      <c r="A115" s="496"/>
      <c r="B115" s="496"/>
      <c r="C115" s="496"/>
      <c r="D115" s="496"/>
      <c r="E115" s="544"/>
      <c r="F115" s="544"/>
      <c r="G115" s="174" t="s">
        <v>174</v>
      </c>
      <c r="H115" s="182"/>
      <c r="I115" s="182"/>
      <c r="J115" s="182"/>
      <c r="K115" s="182"/>
      <c r="L115" s="175"/>
      <c r="M115" s="544"/>
      <c r="N115" s="544"/>
      <c r="O115" s="544"/>
      <c r="P115" s="544"/>
      <c r="Q115" s="544"/>
      <c r="R115" s="544"/>
      <c r="S115" s="544"/>
      <c r="T115" s="544"/>
      <c r="U115" s="275"/>
      <c r="V115" s="166"/>
      <c r="W115" s="166"/>
      <c r="X115" s="166"/>
      <c r="Y115" s="166"/>
      <c r="Z115" s="166"/>
      <c r="AA115" s="166"/>
      <c r="AB115" s="166"/>
      <c r="AC115" s="166"/>
      <c r="AD115" s="166"/>
      <c r="AE115" s="166"/>
      <c r="AF115" s="166"/>
      <c r="AG115" s="166"/>
      <c r="AH115" s="166"/>
      <c r="AI115" s="266"/>
      <c r="AJ115" s="266"/>
      <c r="AK115" s="266"/>
      <c r="AL115" s="266"/>
      <c r="AM115" s="166"/>
      <c r="AN115" s="166"/>
      <c r="AO115" s="166"/>
      <c r="AP115" s="166"/>
      <c r="AQ115" s="166"/>
      <c r="AR115" s="166"/>
      <c r="AS115" s="166"/>
      <c r="AT115" s="166"/>
      <c r="AU115" s="166"/>
      <c r="AV115" s="166"/>
      <c r="AW115" s="166"/>
      <c r="AX115" s="166"/>
      <c r="AY115" s="166"/>
      <c r="AZ115" s="166"/>
      <c r="BA115" s="166"/>
      <c r="BB115" s="266"/>
      <c r="BC115" s="166"/>
      <c r="BD115" s="166"/>
      <c r="BE115" s="166"/>
      <c r="BF115" s="166"/>
      <c r="BG115" s="166"/>
      <c r="BH115" s="166"/>
      <c r="BI115" s="166"/>
      <c r="BJ115" s="166"/>
      <c r="BK115" s="166"/>
      <c r="BL115" s="166"/>
      <c r="BM115" s="166"/>
      <c r="BN115" s="166"/>
      <c r="BO115" s="166"/>
      <c r="BP115" s="166"/>
      <c r="BQ115" s="166"/>
      <c r="BR115" s="166"/>
      <c r="BS115" s="266"/>
      <c r="BT115" s="266"/>
      <c r="BU115" s="831"/>
      <c r="BV115" s="266"/>
      <c r="BW115" s="266"/>
      <c r="BX115" s="266"/>
      <c r="BY115" s="266"/>
      <c r="BZ115" s="266"/>
      <c r="CA115" s="266"/>
      <c r="CB115" s="266"/>
      <c r="CC115" s="266"/>
      <c r="CD115" s="266"/>
      <c r="CE115" s="266"/>
      <c r="CF115" s="266"/>
      <c r="CG115" s="266"/>
      <c r="CH115" s="266"/>
      <c r="CI115" s="266"/>
      <c r="CJ115" s="266"/>
      <c r="CK115" s="166"/>
      <c r="CL115" s="166"/>
      <c r="CM115" s="166"/>
      <c r="CN115" s="166"/>
      <c r="CO115" s="166"/>
      <c r="CP115" s="166"/>
      <c r="CQ115" s="166"/>
      <c r="CR115" s="166"/>
      <c r="CS115" s="166"/>
      <c r="CT115" s="166"/>
      <c r="CU115" s="166"/>
      <c r="CV115" s="166"/>
      <c r="CW115" s="166"/>
      <c r="CX115" s="166"/>
      <c r="CY115" s="166"/>
      <c r="CZ115" s="166"/>
      <c r="DA115" s="166"/>
      <c r="DB115" s="166"/>
      <c r="DC115" s="266"/>
      <c r="DD115" s="166"/>
      <c r="DE115" s="166"/>
      <c r="DF115" s="166"/>
      <c r="DG115" s="166"/>
      <c r="DH115" s="166"/>
      <c r="DI115" s="166"/>
      <c r="DJ115" s="166"/>
      <c r="DK115" s="166"/>
      <c r="DL115" s="166"/>
      <c r="DM115" s="166"/>
      <c r="DN115" s="166"/>
      <c r="DO115" s="166"/>
    </row>
    <row r="116" spans="1:119" ht="13.5" customHeight="1">
      <c r="A116" s="496"/>
      <c r="B116" s="496"/>
      <c r="C116" s="496"/>
      <c r="D116" s="496"/>
      <c r="E116" s="544"/>
      <c r="F116" s="544"/>
      <c r="G116" s="178">
        <v>1</v>
      </c>
      <c r="H116" s="179" t="s">
        <v>172</v>
      </c>
      <c r="I116" s="262"/>
      <c r="J116" s="262"/>
      <c r="K116" s="179"/>
      <c r="L116" s="176"/>
      <c r="M116" s="544"/>
      <c r="N116" s="544"/>
      <c r="O116" s="544"/>
      <c r="P116" s="544"/>
      <c r="Q116" s="544"/>
      <c r="R116" s="544"/>
      <c r="S116" s="544"/>
      <c r="T116" s="544"/>
      <c r="U116" s="275"/>
      <c r="V116" s="166"/>
      <c r="W116" s="166"/>
      <c r="X116" s="166"/>
      <c r="Y116" s="166"/>
      <c r="Z116" s="166"/>
      <c r="AA116" s="166"/>
      <c r="AB116" s="166"/>
      <c r="AC116" s="166"/>
      <c r="AD116" s="166"/>
      <c r="AE116" s="166"/>
      <c r="AF116" s="166"/>
      <c r="AG116" s="166"/>
      <c r="AH116" s="166"/>
      <c r="AI116" s="266"/>
      <c r="AJ116" s="266"/>
      <c r="AK116" s="266"/>
      <c r="AL116" s="266"/>
      <c r="AM116" s="166"/>
      <c r="AN116" s="166"/>
      <c r="AO116" s="166"/>
      <c r="AP116" s="166"/>
      <c r="AQ116" s="166"/>
      <c r="AR116" s="166"/>
      <c r="AS116" s="166"/>
      <c r="AT116" s="166"/>
      <c r="AU116" s="166"/>
      <c r="AV116" s="166"/>
      <c r="AW116" s="166"/>
      <c r="AX116" s="166"/>
      <c r="AY116" s="166"/>
      <c r="AZ116" s="166"/>
      <c r="BA116" s="166"/>
      <c r="BB116" s="266"/>
      <c r="BC116" s="166"/>
      <c r="BD116" s="166"/>
      <c r="BE116" s="166"/>
      <c r="BF116" s="166"/>
      <c r="BG116" s="166"/>
      <c r="BH116" s="166"/>
      <c r="BI116" s="166"/>
      <c r="BJ116" s="166"/>
      <c r="BK116" s="166"/>
      <c r="BL116" s="166"/>
      <c r="BM116" s="166"/>
      <c r="BN116" s="166"/>
      <c r="BO116" s="166"/>
      <c r="BP116" s="166"/>
      <c r="BQ116" s="166"/>
      <c r="BR116" s="166"/>
      <c r="BS116" s="266"/>
      <c r="BT116" s="266"/>
      <c r="BU116" s="831"/>
      <c r="BV116" s="266"/>
      <c r="BW116" s="266"/>
      <c r="BX116" s="266"/>
      <c r="BY116" s="266"/>
      <c r="BZ116" s="266"/>
      <c r="CA116" s="266"/>
      <c r="CB116" s="266"/>
      <c r="CC116" s="266"/>
      <c r="CD116" s="266"/>
      <c r="CE116" s="266"/>
      <c r="CF116" s="266"/>
      <c r="CG116" s="266"/>
      <c r="CH116" s="266"/>
      <c r="CI116" s="266"/>
      <c r="CJ116" s="266"/>
      <c r="CK116" s="166"/>
      <c r="CL116" s="166"/>
      <c r="CM116" s="166"/>
      <c r="CN116" s="166"/>
      <c r="CO116" s="166"/>
      <c r="CP116" s="166"/>
      <c r="CQ116" s="166"/>
      <c r="CR116" s="166"/>
      <c r="CS116" s="166"/>
      <c r="CT116" s="166"/>
      <c r="CU116" s="166"/>
      <c r="CV116" s="166"/>
      <c r="CW116" s="166"/>
      <c r="CX116" s="166"/>
      <c r="CY116" s="166"/>
      <c r="CZ116" s="166"/>
      <c r="DA116" s="166"/>
      <c r="DB116" s="166"/>
      <c r="DC116" s="266"/>
      <c r="DD116" s="166"/>
      <c r="DE116" s="166"/>
      <c r="DF116" s="166"/>
      <c r="DG116" s="166"/>
      <c r="DH116" s="166"/>
      <c r="DI116" s="166"/>
      <c r="DJ116" s="166"/>
      <c r="DK116" s="166"/>
      <c r="DL116" s="166"/>
      <c r="DM116" s="166"/>
      <c r="DN116" s="166"/>
      <c r="DO116" s="166"/>
    </row>
    <row r="117" spans="1:119" ht="13.5" customHeight="1">
      <c r="A117" s="496"/>
      <c r="B117" s="496"/>
      <c r="C117" s="496"/>
      <c r="D117" s="496"/>
      <c r="E117" s="544"/>
      <c r="F117" s="544"/>
      <c r="G117" s="180">
        <v>2</v>
      </c>
      <c r="H117" s="181" t="s">
        <v>173</v>
      </c>
      <c r="I117" s="263"/>
      <c r="J117" s="263"/>
      <c r="K117" s="181"/>
      <c r="L117" s="177"/>
      <c r="M117" s="544"/>
      <c r="N117" s="544"/>
      <c r="O117" s="544"/>
      <c r="P117" s="544"/>
      <c r="Q117" s="544"/>
      <c r="R117" s="544"/>
      <c r="S117" s="544"/>
      <c r="T117" s="544"/>
      <c r="U117" s="275"/>
      <c r="V117" s="166"/>
      <c r="W117" s="166"/>
      <c r="X117" s="166"/>
      <c r="Y117" s="166"/>
      <c r="Z117" s="166"/>
      <c r="AA117" s="166"/>
      <c r="AB117" s="166"/>
      <c r="AC117" s="166"/>
      <c r="AD117" s="166"/>
      <c r="AE117" s="166"/>
      <c r="AF117" s="166"/>
      <c r="AG117" s="166"/>
      <c r="AH117" s="166"/>
      <c r="AI117" s="266"/>
      <c r="AJ117" s="266"/>
      <c r="AK117" s="266"/>
      <c r="AL117" s="266"/>
      <c r="AM117" s="166"/>
      <c r="AN117" s="166"/>
      <c r="AO117" s="166"/>
      <c r="AP117" s="166"/>
      <c r="AQ117" s="166"/>
      <c r="AR117" s="166"/>
      <c r="AS117" s="166"/>
      <c r="AT117" s="166"/>
      <c r="AU117" s="166"/>
      <c r="AV117" s="166"/>
      <c r="AW117" s="166"/>
      <c r="AX117" s="166"/>
      <c r="AY117" s="166"/>
      <c r="AZ117" s="166"/>
      <c r="BA117" s="166"/>
      <c r="BB117" s="266"/>
      <c r="BC117" s="166"/>
      <c r="BD117" s="166"/>
      <c r="BE117" s="166"/>
      <c r="BF117" s="166"/>
      <c r="BG117" s="166"/>
      <c r="BH117" s="166"/>
      <c r="BI117" s="166"/>
      <c r="BJ117" s="166"/>
      <c r="BK117" s="166"/>
      <c r="BL117" s="166"/>
      <c r="BM117" s="166"/>
      <c r="BN117" s="166"/>
      <c r="BO117" s="166"/>
      <c r="BP117" s="166"/>
      <c r="BQ117" s="166"/>
      <c r="BR117" s="166"/>
      <c r="BS117" s="266"/>
      <c r="BT117" s="266"/>
      <c r="BU117" s="831"/>
      <c r="BV117" s="266"/>
      <c r="BW117" s="266"/>
      <c r="BX117" s="266"/>
      <c r="BY117" s="266"/>
      <c r="BZ117" s="266"/>
      <c r="CA117" s="266"/>
      <c r="CB117" s="266"/>
      <c r="CC117" s="266"/>
      <c r="CD117" s="266"/>
      <c r="CE117" s="266"/>
      <c r="CF117" s="266"/>
      <c r="CG117" s="266"/>
      <c r="CH117" s="266"/>
      <c r="CI117" s="266"/>
      <c r="CJ117" s="266"/>
      <c r="CK117" s="166"/>
      <c r="CL117" s="166"/>
      <c r="CM117" s="166"/>
      <c r="CN117" s="166"/>
      <c r="CO117" s="166"/>
      <c r="CP117" s="166"/>
      <c r="CQ117" s="166"/>
      <c r="CR117" s="166"/>
      <c r="CS117" s="166"/>
      <c r="CT117" s="166"/>
      <c r="CU117" s="166"/>
      <c r="CV117" s="166"/>
      <c r="CW117" s="166"/>
      <c r="CX117" s="166"/>
      <c r="CY117" s="166"/>
      <c r="CZ117" s="166"/>
      <c r="DA117" s="166"/>
      <c r="DB117" s="166"/>
      <c r="DC117" s="266"/>
      <c r="DD117" s="166"/>
      <c r="DE117" s="166"/>
      <c r="DF117" s="166"/>
      <c r="DG117" s="166"/>
      <c r="DH117" s="166"/>
      <c r="DI117" s="166"/>
      <c r="DJ117" s="166"/>
      <c r="DK117" s="166"/>
      <c r="DL117" s="166"/>
      <c r="DM117" s="166"/>
      <c r="DN117" s="166"/>
      <c r="DO117" s="166"/>
    </row>
    <row r="118" spans="1:119" ht="13.5" customHeight="1">
      <c r="A118" s="496"/>
      <c r="B118" s="496"/>
      <c r="C118" s="496"/>
      <c r="D118" s="496"/>
      <c r="E118" s="544"/>
      <c r="F118" s="544"/>
      <c r="G118" s="13"/>
      <c r="H118" s="13"/>
      <c r="I118" s="13"/>
      <c r="J118" s="13"/>
      <c r="K118" s="13"/>
      <c r="L118" s="13"/>
      <c r="M118" s="544"/>
      <c r="N118" s="544"/>
      <c r="O118" s="544"/>
      <c r="P118" s="544"/>
      <c r="Q118" s="544"/>
      <c r="R118" s="544"/>
      <c r="S118" s="544"/>
      <c r="T118" s="544"/>
      <c r="U118" s="275"/>
      <c r="V118" s="166"/>
      <c r="W118" s="166"/>
      <c r="X118" s="166"/>
      <c r="Y118" s="166"/>
      <c r="Z118" s="166"/>
      <c r="AA118" s="166"/>
      <c r="AB118" s="166"/>
      <c r="AC118" s="166"/>
      <c r="AD118" s="166"/>
      <c r="AE118" s="166"/>
      <c r="AF118" s="166"/>
      <c r="AG118" s="166"/>
      <c r="AH118" s="166"/>
      <c r="AI118" s="266"/>
      <c r="AJ118" s="266"/>
      <c r="AK118" s="266"/>
      <c r="AL118" s="266"/>
      <c r="AM118" s="166"/>
      <c r="AN118" s="166"/>
      <c r="AO118" s="166"/>
      <c r="AP118" s="166"/>
      <c r="AQ118" s="166"/>
      <c r="AR118" s="166"/>
      <c r="AS118" s="166"/>
      <c r="AT118" s="166"/>
      <c r="AU118" s="166"/>
      <c r="AV118" s="166"/>
      <c r="AW118" s="166"/>
      <c r="AX118" s="166"/>
      <c r="AY118" s="166"/>
      <c r="AZ118" s="166"/>
      <c r="BA118" s="166"/>
      <c r="BB118" s="266"/>
      <c r="BC118" s="166"/>
      <c r="BD118" s="166"/>
      <c r="BE118" s="166"/>
      <c r="BF118" s="166"/>
      <c r="BG118" s="166"/>
      <c r="BH118" s="166"/>
      <c r="BI118" s="166"/>
      <c r="BJ118" s="166"/>
      <c r="BK118" s="166"/>
      <c r="BL118" s="166"/>
      <c r="BM118" s="166"/>
      <c r="BN118" s="166"/>
      <c r="BO118" s="166"/>
      <c r="BP118" s="166"/>
      <c r="BQ118" s="166"/>
      <c r="BR118" s="166"/>
      <c r="BS118" s="266"/>
      <c r="BT118" s="266"/>
      <c r="BU118" s="831"/>
      <c r="BV118" s="266"/>
      <c r="BW118" s="266"/>
      <c r="BX118" s="266"/>
      <c r="BY118" s="266"/>
      <c r="BZ118" s="266"/>
      <c r="CA118" s="266"/>
      <c r="CB118" s="266"/>
      <c r="CC118" s="266"/>
      <c r="CD118" s="266"/>
      <c r="CE118" s="266"/>
      <c r="CF118" s="266"/>
      <c r="CG118" s="266"/>
      <c r="CH118" s="266"/>
      <c r="CI118" s="266"/>
      <c r="CJ118" s="266"/>
      <c r="CK118" s="166"/>
      <c r="CL118" s="166"/>
      <c r="CM118" s="166"/>
      <c r="CN118" s="166"/>
      <c r="CO118" s="166"/>
      <c r="CP118" s="166"/>
      <c r="CQ118" s="166"/>
      <c r="CR118" s="166"/>
      <c r="CS118" s="166"/>
      <c r="CT118" s="166"/>
      <c r="CU118" s="166"/>
      <c r="CV118" s="166"/>
      <c r="CW118" s="166"/>
      <c r="CX118" s="166"/>
      <c r="CY118" s="166"/>
      <c r="CZ118" s="166"/>
      <c r="DA118" s="166"/>
      <c r="DB118" s="166"/>
      <c r="DC118" s="266"/>
      <c r="DD118" s="166"/>
      <c r="DE118" s="166"/>
      <c r="DF118" s="166"/>
      <c r="DG118" s="166"/>
      <c r="DH118" s="166"/>
      <c r="DI118" s="166"/>
      <c r="DJ118" s="166"/>
      <c r="DK118" s="166"/>
      <c r="DL118" s="166"/>
      <c r="DM118" s="166"/>
      <c r="DN118" s="166"/>
      <c r="DO118" s="166"/>
    </row>
    <row r="119" spans="1:119" ht="13.5" customHeight="1">
      <c r="A119" s="496"/>
      <c r="B119" s="496"/>
      <c r="C119" s="496"/>
      <c r="D119" s="496"/>
      <c r="E119" s="544"/>
      <c r="F119" s="544"/>
      <c r="G119" s="174" t="s">
        <v>177</v>
      </c>
      <c r="H119" s="182"/>
      <c r="I119" s="182"/>
      <c r="J119" s="182"/>
      <c r="K119" s="182"/>
      <c r="L119" s="175"/>
      <c r="M119" s="544"/>
      <c r="N119" s="544"/>
      <c r="O119" s="544"/>
      <c r="P119" s="544"/>
      <c r="Q119" s="544"/>
      <c r="R119" s="544"/>
      <c r="S119" s="544"/>
      <c r="T119" s="544"/>
      <c r="U119" s="275"/>
      <c r="V119" s="166"/>
      <c r="W119" s="166"/>
      <c r="X119" s="166"/>
      <c r="Y119" s="166"/>
      <c r="Z119" s="166"/>
      <c r="AA119" s="166"/>
      <c r="AB119" s="166"/>
      <c r="AC119" s="166"/>
      <c r="AD119" s="166"/>
      <c r="AE119" s="166"/>
      <c r="AF119" s="166"/>
      <c r="AG119" s="166"/>
      <c r="AH119" s="166"/>
      <c r="AI119" s="266"/>
      <c r="AJ119" s="266"/>
      <c r="AK119" s="266"/>
      <c r="AL119" s="266"/>
      <c r="AM119" s="166"/>
      <c r="AN119" s="166"/>
      <c r="AO119" s="166"/>
      <c r="AP119" s="166"/>
      <c r="AQ119" s="166"/>
      <c r="AR119" s="166"/>
      <c r="AS119" s="166"/>
      <c r="AT119" s="166"/>
      <c r="AU119" s="166"/>
      <c r="AV119" s="166"/>
      <c r="AW119" s="166"/>
      <c r="AX119" s="166"/>
      <c r="AY119" s="166"/>
      <c r="AZ119" s="166"/>
      <c r="BA119" s="166"/>
      <c r="BB119" s="266"/>
      <c r="BC119" s="166"/>
      <c r="BD119" s="166"/>
      <c r="BE119" s="166"/>
      <c r="BF119" s="166"/>
      <c r="BG119" s="166"/>
      <c r="BH119" s="166"/>
      <c r="BI119" s="166"/>
      <c r="BJ119" s="166"/>
      <c r="BK119" s="166"/>
      <c r="BL119" s="166"/>
      <c r="BM119" s="166"/>
      <c r="BN119" s="166"/>
      <c r="BO119" s="166"/>
      <c r="BP119" s="166"/>
      <c r="BQ119" s="166"/>
      <c r="BR119" s="166"/>
      <c r="BS119" s="266"/>
      <c r="BT119" s="266"/>
      <c r="BU119" s="831"/>
      <c r="BV119" s="266"/>
      <c r="BW119" s="266"/>
      <c r="BX119" s="266"/>
      <c r="BY119" s="266"/>
      <c r="BZ119" s="266"/>
      <c r="CA119" s="266"/>
      <c r="CB119" s="266"/>
      <c r="CC119" s="266"/>
      <c r="CD119" s="266"/>
      <c r="CE119" s="266"/>
      <c r="CF119" s="266"/>
      <c r="CG119" s="266"/>
      <c r="CH119" s="266"/>
      <c r="CI119" s="266"/>
      <c r="CJ119" s="266"/>
      <c r="CK119" s="166"/>
      <c r="CL119" s="166"/>
      <c r="CM119" s="166"/>
      <c r="CN119" s="166"/>
      <c r="CO119" s="166"/>
      <c r="CP119" s="166"/>
      <c r="CQ119" s="166"/>
      <c r="CR119" s="166"/>
      <c r="CS119" s="166"/>
      <c r="CT119" s="166"/>
      <c r="CU119" s="166"/>
      <c r="CV119" s="166"/>
      <c r="CW119" s="166"/>
      <c r="CX119" s="166"/>
      <c r="CY119" s="166"/>
      <c r="CZ119" s="166"/>
      <c r="DA119" s="166"/>
      <c r="DB119" s="166"/>
      <c r="DC119" s="266"/>
      <c r="DD119" s="166"/>
      <c r="DE119" s="166"/>
      <c r="DF119" s="166"/>
      <c r="DG119" s="166"/>
      <c r="DH119" s="166"/>
      <c r="DI119" s="166"/>
      <c r="DJ119" s="166"/>
      <c r="DK119" s="166"/>
      <c r="DL119" s="166"/>
      <c r="DM119" s="166"/>
      <c r="DN119" s="166"/>
      <c r="DO119" s="166"/>
    </row>
    <row r="120" spans="1:119" ht="13.5" customHeight="1">
      <c r="A120" s="496"/>
      <c r="B120" s="496"/>
      <c r="C120" s="496"/>
      <c r="D120" s="496"/>
      <c r="E120" s="544"/>
      <c r="F120" s="544"/>
      <c r="G120" s="178">
        <v>1</v>
      </c>
      <c r="H120" s="179" t="str">
        <f>Einstrahlung!B46</f>
        <v>Berlin</v>
      </c>
      <c r="I120" s="262"/>
      <c r="J120" s="262"/>
      <c r="K120" s="179"/>
      <c r="L120" s="176"/>
      <c r="M120" s="544"/>
      <c r="N120" s="544"/>
      <c r="O120" s="544"/>
      <c r="P120" s="544"/>
      <c r="Q120" s="544"/>
      <c r="R120" s="544"/>
      <c r="S120" s="544"/>
      <c r="T120" s="544"/>
      <c r="U120" s="275"/>
      <c r="V120" s="166"/>
      <c r="W120" s="166"/>
      <c r="X120" s="166"/>
      <c r="Y120" s="166"/>
      <c r="Z120" s="166"/>
      <c r="AA120" s="166"/>
      <c r="AB120" s="166"/>
      <c r="AC120" s="166"/>
      <c r="AD120" s="166"/>
      <c r="AE120" s="166"/>
      <c r="AF120" s="166"/>
      <c r="AG120" s="166"/>
      <c r="AH120" s="166"/>
      <c r="AI120" s="266"/>
      <c r="AJ120" s="266"/>
      <c r="AK120" s="266"/>
      <c r="AL120" s="266"/>
      <c r="AM120" s="166"/>
      <c r="AN120" s="166"/>
      <c r="AO120" s="166"/>
      <c r="AP120" s="166"/>
      <c r="AQ120" s="166"/>
      <c r="AR120" s="166"/>
      <c r="AS120" s="166"/>
      <c r="AT120" s="166"/>
      <c r="AU120" s="166"/>
      <c r="AV120" s="166"/>
      <c r="AW120" s="166"/>
      <c r="AX120" s="166"/>
      <c r="AY120" s="166"/>
      <c r="AZ120" s="166"/>
      <c r="BA120" s="166"/>
      <c r="BB120" s="266"/>
      <c r="BC120" s="166"/>
      <c r="BD120" s="166"/>
      <c r="BE120" s="166"/>
      <c r="BF120" s="166"/>
      <c r="BG120" s="166"/>
      <c r="BH120" s="166"/>
      <c r="BI120" s="166"/>
      <c r="BJ120" s="166"/>
      <c r="BK120" s="166"/>
      <c r="BL120" s="166"/>
      <c r="BM120" s="166"/>
      <c r="BN120" s="166"/>
      <c r="BO120" s="166"/>
      <c r="BP120" s="166"/>
      <c r="BQ120" s="166"/>
      <c r="BR120" s="166"/>
      <c r="BS120" s="266"/>
      <c r="BT120" s="266"/>
      <c r="BU120" s="831"/>
      <c r="BV120" s="266"/>
      <c r="BW120" s="266"/>
      <c r="BX120" s="266"/>
      <c r="BY120" s="266"/>
      <c r="BZ120" s="266"/>
      <c r="CA120" s="266"/>
      <c r="CB120" s="266"/>
      <c r="CC120" s="266"/>
      <c r="CD120" s="266"/>
      <c r="CE120" s="266"/>
      <c r="CF120" s="266"/>
      <c r="CG120" s="266"/>
      <c r="CH120" s="266"/>
      <c r="CI120" s="266"/>
      <c r="CJ120" s="266"/>
      <c r="CK120" s="166"/>
      <c r="CL120" s="166"/>
      <c r="CM120" s="166"/>
      <c r="CN120" s="166"/>
      <c r="CO120" s="166"/>
      <c r="CP120" s="166"/>
      <c r="CQ120" s="166"/>
      <c r="CR120" s="166"/>
      <c r="CS120" s="166"/>
      <c r="CT120" s="166"/>
      <c r="CU120" s="166"/>
      <c r="CV120" s="166"/>
      <c r="CW120" s="166"/>
      <c r="CX120" s="166"/>
      <c r="CY120" s="166"/>
      <c r="CZ120" s="166"/>
      <c r="DA120" s="166"/>
      <c r="DB120" s="166"/>
      <c r="DC120" s="266"/>
      <c r="DD120" s="166"/>
      <c r="DE120" s="166"/>
      <c r="DF120" s="166"/>
      <c r="DG120" s="166"/>
      <c r="DH120" s="166"/>
      <c r="DI120" s="166"/>
      <c r="DJ120" s="166"/>
      <c r="DK120" s="166"/>
      <c r="DL120" s="166"/>
      <c r="DM120" s="166"/>
      <c r="DN120" s="166"/>
      <c r="DO120" s="166"/>
    </row>
    <row r="121" spans="1:119" ht="13.5" customHeight="1">
      <c r="A121" s="496"/>
      <c r="B121" s="496"/>
      <c r="C121" s="496"/>
      <c r="D121" s="496"/>
      <c r="E121" s="544"/>
      <c r="F121" s="544"/>
      <c r="G121" s="178">
        <v>2</v>
      </c>
      <c r="H121" s="179" t="str">
        <f>Einstrahlung!B47</f>
        <v>Dortmund</v>
      </c>
      <c r="I121" s="262"/>
      <c r="J121" s="262"/>
      <c r="K121" s="179"/>
      <c r="L121" s="176"/>
      <c r="M121" s="544"/>
      <c r="N121" s="544"/>
      <c r="O121" s="544"/>
      <c r="P121" s="544"/>
      <c r="Q121" s="544"/>
      <c r="R121" s="544"/>
      <c r="S121" s="544"/>
      <c r="T121" s="544"/>
      <c r="U121" s="275"/>
      <c r="V121" s="166"/>
      <c r="W121" s="166"/>
      <c r="X121" s="166"/>
      <c r="Y121" s="166"/>
      <c r="Z121" s="166"/>
      <c r="AA121" s="166"/>
      <c r="AB121" s="166"/>
      <c r="AC121" s="166"/>
      <c r="AD121" s="166"/>
      <c r="AE121" s="166"/>
      <c r="AF121" s="166"/>
      <c r="AG121" s="166"/>
      <c r="AH121" s="166"/>
      <c r="AI121" s="266"/>
      <c r="AJ121" s="266"/>
      <c r="AK121" s="266"/>
      <c r="AL121" s="266"/>
      <c r="AM121" s="166"/>
      <c r="AN121" s="166"/>
      <c r="AO121" s="166"/>
      <c r="AP121" s="166"/>
      <c r="AQ121" s="166"/>
      <c r="AR121" s="166"/>
      <c r="AS121" s="166"/>
      <c r="AT121" s="166"/>
      <c r="AU121" s="166"/>
      <c r="AV121" s="166"/>
      <c r="AW121" s="166"/>
      <c r="AX121" s="166"/>
      <c r="AY121" s="166"/>
      <c r="AZ121" s="166"/>
      <c r="BA121" s="166"/>
      <c r="BB121" s="266"/>
      <c r="BC121" s="166"/>
      <c r="BD121" s="166"/>
      <c r="BE121" s="166"/>
      <c r="BF121" s="166"/>
      <c r="BG121" s="166"/>
      <c r="BH121" s="166"/>
      <c r="BI121" s="166"/>
      <c r="BJ121" s="166"/>
      <c r="BK121" s="166"/>
      <c r="BL121" s="166"/>
      <c r="BM121" s="166"/>
      <c r="BN121" s="166"/>
      <c r="BO121" s="166"/>
      <c r="BP121" s="166"/>
      <c r="BQ121" s="166"/>
      <c r="BR121" s="166"/>
      <c r="BS121" s="266"/>
      <c r="BT121" s="266"/>
      <c r="BU121" s="831"/>
      <c r="BV121" s="266"/>
      <c r="BW121" s="266"/>
      <c r="BX121" s="266"/>
      <c r="BY121" s="266"/>
      <c r="BZ121" s="266"/>
      <c r="CA121" s="266"/>
      <c r="CB121" s="266"/>
      <c r="CC121" s="266"/>
      <c r="CD121" s="266"/>
      <c r="CE121" s="266"/>
      <c r="CF121" s="266"/>
      <c r="CG121" s="266"/>
      <c r="CH121" s="266"/>
      <c r="CI121" s="266"/>
      <c r="CJ121" s="266"/>
      <c r="CK121" s="166"/>
      <c r="CL121" s="166"/>
      <c r="CM121" s="166"/>
      <c r="CN121" s="166"/>
      <c r="CO121" s="166"/>
      <c r="CP121" s="166"/>
      <c r="CQ121" s="166"/>
      <c r="CR121" s="166"/>
      <c r="CS121" s="166"/>
      <c r="CT121" s="166"/>
      <c r="CU121" s="166"/>
      <c r="CV121" s="166"/>
      <c r="CW121" s="166"/>
      <c r="CX121" s="166"/>
      <c r="CY121" s="166"/>
      <c r="CZ121" s="166"/>
      <c r="DA121" s="166"/>
      <c r="DB121" s="166"/>
      <c r="DC121" s="266"/>
      <c r="DD121" s="166"/>
      <c r="DE121" s="166"/>
      <c r="DF121" s="166"/>
      <c r="DG121" s="166"/>
      <c r="DH121" s="166"/>
      <c r="DI121" s="166"/>
      <c r="DJ121" s="166"/>
      <c r="DK121" s="166"/>
      <c r="DL121" s="166"/>
      <c r="DM121" s="166"/>
      <c r="DN121" s="166"/>
      <c r="DO121" s="166"/>
    </row>
    <row r="122" spans="1:119" ht="13.5" customHeight="1">
      <c r="A122" s="496"/>
      <c r="B122" s="496"/>
      <c r="C122" s="496"/>
      <c r="D122" s="496"/>
      <c r="E122" s="544"/>
      <c r="F122" s="544"/>
      <c r="G122" s="178">
        <v>3</v>
      </c>
      <c r="H122" s="179" t="str">
        <f>Einstrahlung!B48</f>
        <v>Dresden</v>
      </c>
      <c r="I122" s="262"/>
      <c r="J122" s="262"/>
      <c r="K122" s="179"/>
      <c r="L122" s="176"/>
      <c r="M122" s="544"/>
      <c r="N122" s="544"/>
      <c r="O122" s="544"/>
      <c r="P122" s="544"/>
      <c r="Q122" s="544"/>
      <c r="R122" s="544"/>
      <c r="S122" s="544"/>
      <c r="T122" s="544"/>
      <c r="U122" s="275"/>
      <c r="V122" s="166"/>
      <c r="W122" s="166"/>
      <c r="X122" s="166"/>
      <c r="Y122" s="166"/>
      <c r="Z122" s="166"/>
      <c r="AA122" s="166"/>
      <c r="AB122" s="166"/>
      <c r="AC122" s="166"/>
      <c r="AD122" s="166"/>
      <c r="AE122" s="166"/>
      <c r="AF122" s="166"/>
      <c r="AG122" s="166"/>
      <c r="AH122" s="166"/>
      <c r="AI122" s="266"/>
      <c r="AJ122" s="266"/>
      <c r="AK122" s="266"/>
      <c r="AL122" s="266"/>
      <c r="AM122" s="166"/>
      <c r="AN122" s="166"/>
      <c r="AO122" s="166"/>
      <c r="AP122" s="166"/>
      <c r="AQ122" s="166"/>
      <c r="AR122" s="166"/>
      <c r="AS122" s="166"/>
      <c r="AT122" s="166"/>
      <c r="AU122" s="166"/>
      <c r="AV122" s="166"/>
      <c r="AW122" s="166"/>
      <c r="AX122" s="166"/>
      <c r="AY122" s="166"/>
      <c r="AZ122" s="166"/>
      <c r="BA122" s="166"/>
      <c r="BB122" s="266"/>
      <c r="BC122" s="166"/>
      <c r="BD122" s="166"/>
      <c r="BE122" s="166"/>
      <c r="BF122" s="166"/>
      <c r="BG122" s="166"/>
      <c r="BH122" s="166"/>
      <c r="BI122" s="166"/>
      <c r="BJ122" s="166"/>
      <c r="BK122" s="166"/>
      <c r="BL122" s="166"/>
      <c r="BM122" s="166"/>
      <c r="BN122" s="166"/>
      <c r="BO122" s="166"/>
      <c r="BP122" s="166"/>
      <c r="BQ122" s="166"/>
      <c r="BR122" s="166"/>
      <c r="BS122" s="266"/>
      <c r="BT122" s="266"/>
      <c r="BU122" s="831"/>
      <c r="BV122" s="266"/>
      <c r="BW122" s="266"/>
      <c r="BX122" s="266"/>
      <c r="BY122" s="266"/>
      <c r="BZ122" s="266"/>
      <c r="CA122" s="266"/>
      <c r="CB122" s="266"/>
      <c r="CC122" s="266"/>
      <c r="CD122" s="266"/>
      <c r="CE122" s="266"/>
      <c r="CF122" s="266"/>
      <c r="CG122" s="266"/>
      <c r="CH122" s="266"/>
      <c r="CI122" s="266"/>
      <c r="CJ122" s="266"/>
      <c r="CK122" s="166"/>
      <c r="CL122" s="166"/>
      <c r="CM122" s="166"/>
      <c r="CN122" s="166"/>
      <c r="CO122" s="166"/>
      <c r="CP122" s="166"/>
      <c r="CQ122" s="166"/>
      <c r="CR122" s="166"/>
      <c r="CS122" s="166"/>
      <c r="CT122" s="166"/>
      <c r="CU122" s="166"/>
      <c r="CV122" s="166"/>
      <c r="CW122" s="166"/>
      <c r="CX122" s="166"/>
      <c r="CY122" s="166"/>
      <c r="CZ122" s="166"/>
      <c r="DA122" s="166"/>
      <c r="DB122" s="166"/>
      <c r="DC122" s="266"/>
      <c r="DD122" s="166"/>
      <c r="DE122" s="166"/>
      <c r="DF122" s="166"/>
      <c r="DG122" s="166"/>
      <c r="DH122" s="166"/>
      <c r="DI122" s="166"/>
      <c r="DJ122" s="166"/>
      <c r="DK122" s="166"/>
      <c r="DL122" s="166"/>
      <c r="DM122" s="166"/>
      <c r="DN122" s="166"/>
      <c r="DO122" s="166"/>
    </row>
    <row r="123" spans="1:119" ht="13.5" customHeight="1">
      <c r="A123" s="496"/>
      <c r="B123" s="496"/>
      <c r="C123" s="496"/>
      <c r="D123" s="496"/>
      <c r="E123" s="544"/>
      <c r="F123" s="544"/>
      <c r="G123" s="178">
        <v>4</v>
      </c>
      <c r="H123" s="179" t="str">
        <f>Einstrahlung!B49</f>
        <v>Frankfurt a.M.</v>
      </c>
      <c r="I123" s="262"/>
      <c r="J123" s="262"/>
      <c r="K123" s="179"/>
      <c r="L123" s="176"/>
      <c r="M123" s="544"/>
      <c r="N123" s="544"/>
      <c r="O123" s="544"/>
      <c r="P123" s="544"/>
      <c r="Q123" s="544"/>
      <c r="R123" s="544"/>
      <c r="S123" s="544"/>
      <c r="T123" s="544"/>
      <c r="U123" s="275"/>
      <c r="V123" s="166"/>
      <c r="W123" s="166"/>
      <c r="X123" s="166"/>
      <c r="Y123" s="166"/>
      <c r="Z123" s="166"/>
      <c r="AA123" s="166"/>
      <c r="AB123" s="166"/>
      <c r="AC123" s="166"/>
      <c r="AD123" s="166"/>
      <c r="AE123" s="166"/>
      <c r="AF123" s="166"/>
      <c r="AG123" s="166"/>
      <c r="AH123" s="166"/>
      <c r="AI123" s="266"/>
      <c r="AJ123" s="266"/>
      <c r="AK123" s="266"/>
      <c r="AL123" s="266"/>
      <c r="AM123" s="166"/>
      <c r="AN123" s="166"/>
      <c r="AO123" s="166"/>
      <c r="AP123" s="166"/>
      <c r="AQ123" s="166"/>
      <c r="AR123" s="166"/>
      <c r="AS123" s="166"/>
      <c r="AT123" s="166"/>
      <c r="AU123" s="166"/>
      <c r="AV123" s="166"/>
      <c r="AW123" s="166"/>
      <c r="AX123" s="166"/>
      <c r="AY123" s="166"/>
      <c r="AZ123" s="166"/>
      <c r="BA123" s="166"/>
      <c r="BB123" s="266"/>
      <c r="BC123" s="166"/>
      <c r="BD123" s="166"/>
      <c r="BE123" s="166"/>
      <c r="BF123" s="166"/>
      <c r="BG123" s="166"/>
      <c r="BH123" s="166"/>
      <c r="BI123" s="166"/>
      <c r="BJ123" s="166"/>
      <c r="BK123" s="166"/>
      <c r="BL123" s="166"/>
      <c r="BM123" s="166"/>
      <c r="BN123" s="166"/>
      <c r="BO123" s="166"/>
      <c r="BP123" s="166"/>
      <c r="BQ123" s="166"/>
      <c r="BR123" s="166"/>
      <c r="BS123" s="266"/>
      <c r="BT123" s="266"/>
      <c r="BU123" s="831"/>
      <c r="BV123" s="266"/>
      <c r="BW123" s="266"/>
      <c r="BX123" s="266"/>
      <c r="BY123" s="266"/>
      <c r="BZ123" s="266"/>
      <c r="CA123" s="266"/>
      <c r="CB123" s="266"/>
      <c r="CC123" s="266"/>
      <c r="CD123" s="266"/>
      <c r="CE123" s="266"/>
      <c r="CF123" s="266"/>
      <c r="CG123" s="266"/>
      <c r="CH123" s="266"/>
      <c r="CI123" s="266"/>
      <c r="CJ123" s="266"/>
      <c r="CK123" s="166"/>
      <c r="CL123" s="166"/>
      <c r="CM123" s="166"/>
      <c r="CN123" s="166"/>
      <c r="CO123" s="166"/>
      <c r="CP123" s="166"/>
      <c r="CQ123" s="166"/>
      <c r="CR123" s="166"/>
      <c r="CS123" s="166"/>
      <c r="CT123" s="166"/>
      <c r="CU123" s="166"/>
      <c r="CV123" s="166"/>
      <c r="CW123" s="166"/>
      <c r="CX123" s="166"/>
      <c r="CY123" s="166"/>
      <c r="CZ123" s="166"/>
      <c r="DA123" s="166"/>
      <c r="DB123" s="166"/>
      <c r="DC123" s="266"/>
      <c r="DD123" s="166"/>
      <c r="DE123" s="166"/>
      <c r="DF123" s="166"/>
      <c r="DG123" s="166"/>
      <c r="DH123" s="166"/>
      <c r="DI123" s="166"/>
      <c r="DJ123" s="166"/>
      <c r="DK123" s="166"/>
      <c r="DL123" s="166"/>
      <c r="DM123" s="166"/>
      <c r="DN123" s="166"/>
      <c r="DO123" s="166"/>
    </row>
    <row r="124" spans="1:119" ht="13.5" customHeight="1">
      <c r="A124" s="496"/>
      <c r="B124" s="496"/>
      <c r="C124" s="496"/>
      <c r="D124" s="496"/>
      <c r="E124" s="544"/>
      <c r="F124" s="544"/>
      <c r="G124" s="178">
        <v>5</v>
      </c>
      <c r="H124" s="179" t="str">
        <f>Einstrahlung!B50</f>
        <v>Freiburg</v>
      </c>
      <c r="I124" s="262"/>
      <c r="J124" s="262"/>
      <c r="K124" s="179"/>
      <c r="L124" s="176"/>
      <c r="M124" s="544"/>
      <c r="N124" s="544"/>
      <c r="O124" s="544"/>
      <c r="P124" s="544"/>
      <c r="Q124" s="544"/>
      <c r="R124" s="544"/>
      <c r="S124" s="544"/>
      <c r="T124" s="544"/>
      <c r="U124" s="275"/>
      <c r="V124" s="166"/>
      <c r="W124" s="166"/>
      <c r="X124" s="166"/>
      <c r="Y124" s="166"/>
      <c r="Z124" s="166"/>
      <c r="AA124" s="166"/>
      <c r="AB124" s="166"/>
      <c r="AC124" s="166"/>
      <c r="AD124" s="166"/>
      <c r="AE124" s="166"/>
      <c r="AF124" s="166"/>
      <c r="AG124" s="166"/>
      <c r="AH124" s="166"/>
      <c r="AI124" s="266"/>
      <c r="AJ124" s="266"/>
      <c r="AK124" s="266"/>
      <c r="AL124" s="266"/>
      <c r="AM124" s="166"/>
      <c r="AN124" s="166"/>
      <c r="AO124" s="166"/>
      <c r="AP124" s="166"/>
      <c r="AQ124" s="166"/>
      <c r="AR124" s="166"/>
      <c r="AS124" s="166"/>
      <c r="AT124" s="166"/>
      <c r="AU124" s="166"/>
      <c r="AV124" s="166"/>
      <c r="AW124" s="166"/>
      <c r="AX124" s="166"/>
      <c r="AY124" s="166"/>
      <c r="AZ124" s="166"/>
      <c r="BA124" s="166"/>
      <c r="BB124" s="266"/>
      <c r="BC124" s="166"/>
      <c r="BD124" s="166"/>
      <c r="BE124" s="166"/>
      <c r="BF124" s="166"/>
      <c r="BG124" s="166"/>
      <c r="BH124" s="166"/>
      <c r="BI124" s="166"/>
      <c r="BJ124" s="166"/>
      <c r="BK124" s="166"/>
      <c r="BL124" s="166"/>
      <c r="BM124" s="166"/>
      <c r="BN124" s="166"/>
      <c r="BO124" s="166"/>
      <c r="BP124" s="166"/>
      <c r="BQ124" s="166"/>
      <c r="BR124" s="166"/>
      <c r="BS124" s="266"/>
      <c r="BT124" s="266"/>
      <c r="BU124" s="831"/>
      <c r="BV124" s="266"/>
      <c r="BW124" s="266"/>
      <c r="BX124" s="266"/>
      <c r="BY124" s="266"/>
      <c r="BZ124" s="266"/>
      <c r="CA124" s="266"/>
      <c r="CB124" s="266"/>
      <c r="CC124" s="266"/>
      <c r="CD124" s="266"/>
      <c r="CE124" s="266"/>
      <c r="CF124" s="266"/>
      <c r="CG124" s="266"/>
      <c r="CH124" s="266"/>
      <c r="CI124" s="266"/>
      <c r="CJ124" s="266"/>
      <c r="CK124" s="166"/>
      <c r="CL124" s="166"/>
      <c r="CM124" s="166"/>
      <c r="CN124" s="166"/>
      <c r="CO124" s="166"/>
      <c r="CP124" s="166"/>
      <c r="CQ124" s="166"/>
      <c r="CR124" s="166"/>
      <c r="CS124" s="166"/>
      <c r="CT124" s="166"/>
      <c r="CU124" s="166"/>
      <c r="CV124" s="166"/>
      <c r="CW124" s="166"/>
      <c r="CX124" s="166"/>
      <c r="CY124" s="166"/>
      <c r="CZ124" s="166"/>
      <c r="DA124" s="166"/>
      <c r="DB124" s="166"/>
      <c r="DC124" s="266"/>
      <c r="DD124" s="166"/>
      <c r="DE124" s="166"/>
      <c r="DF124" s="166"/>
      <c r="DG124" s="166"/>
      <c r="DH124" s="166"/>
      <c r="DI124" s="166"/>
      <c r="DJ124" s="166"/>
      <c r="DK124" s="166"/>
      <c r="DL124" s="166"/>
      <c r="DM124" s="166"/>
      <c r="DN124" s="166"/>
      <c r="DO124" s="166"/>
    </row>
    <row r="125" spans="1:119" ht="13.5" customHeight="1">
      <c r="A125" s="496"/>
      <c r="B125" s="496"/>
      <c r="C125" s="496"/>
      <c r="D125" s="496"/>
      <c r="E125" s="544"/>
      <c r="F125" s="544"/>
      <c r="G125" s="178">
        <v>6</v>
      </c>
      <c r="H125" s="179" t="str">
        <f>Einstrahlung!B51</f>
        <v>Hamburg</v>
      </c>
      <c r="I125" s="262"/>
      <c r="J125" s="262"/>
      <c r="K125" s="179"/>
      <c r="L125" s="176"/>
      <c r="M125" s="544"/>
      <c r="N125" s="544"/>
      <c r="O125" s="544"/>
      <c r="P125" s="544"/>
      <c r="Q125" s="544"/>
      <c r="R125" s="544"/>
      <c r="S125" s="544"/>
      <c r="T125" s="544"/>
      <c r="U125" s="275"/>
      <c r="V125" s="166"/>
      <c r="W125" s="166"/>
      <c r="X125" s="166"/>
      <c r="Y125" s="166"/>
      <c r="Z125" s="166"/>
      <c r="AA125" s="166"/>
      <c r="AB125" s="166"/>
      <c r="AC125" s="166"/>
      <c r="AD125" s="166"/>
      <c r="AE125" s="166"/>
      <c r="AF125" s="166"/>
      <c r="AG125" s="166"/>
      <c r="AH125" s="166"/>
      <c r="AI125" s="266"/>
      <c r="AJ125" s="266"/>
      <c r="AK125" s="266"/>
      <c r="AL125" s="266"/>
      <c r="AM125" s="166"/>
      <c r="AN125" s="166"/>
      <c r="AO125" s="166"/>
      <c r="AP125" s="166"/>
      <c r="AQ125" s="166"/>
      <c r="AR125" s="166"/>
      <c r="AS125" s="166"/>
      <c r="AT125" s="166"/>
      <c r="AU125" s="166"/>
      <c r="AV125" s="166"/>
      <c r="AW125" s="166"/>
      <c r="AX125" s="166"/>
      <c r="AY125" s="166"/>
      <c r="AZ125" s="166"/>
      <c r="BA125" s="166"/>
      <c r="BB125" s="266"/>
      <c r="BC125" s="166"/>
      <c r="BD125" s="166"/>
      <c r="BE125" s="166"/>
      <c r="BF125" s="166"/>
      <c r="BG125" s="166"/>
      <c r="BH125" s="166"/>
      <c r="BI125" s="166"/>
      <c r="BJ125" s="166"/>
      <c r="BK125" s="166"/>
      <c r="BL125" s="166"/>
      <c r="BM125" s="166"/>
      <c r="BN125" s="166"/>
      <c r="BO125" s="166"/>
      <c r="BP125" s="166"/>
      <c r="BQ125" s="166"/>
      <c r="BR125" s="166"/>
      <c r="BS125" s="266"/>
      <c r="BT125" s="266"/>
      <c r="BU125" s="831"/>
      <c r="BV125" s="266"/>
      <c r="BW125" s="266"/>
      <c r="BX125" s="266"/>
      <c r="BY125" s="266"/>
      <c r="BZ125" s="266"/>
      <c r="CA125" s="266"/>
      <c r="CB125" s="266"/>
      <c r="CC125" s="266"/>
      <c r="CD125" s="266"/>
      <c r="CE125" s="266"/>
      <c r="CF125" s="266"/>
      <c r="CG125" s="266"/>
      <c r="CH125" s="266"/>
      <c r="CI125" s="266"/>
      <c r="CJ125" s="266"/>
      <c r="CK125" s="166"/>
      <c r="CL125" s="166"/>
      <c r="CM125" s="166"/>
      <c r="CN125" s="166"/>
      <c r="CO125" s="166"/>
      <c r="CP125" s="166"/>
      <c r="CQ125" s="166"/>
      <c r="CR125" s="166"/>
      <c r="CS125" s="166"/>
      <c r="CT125" s="166"/>
      <c r="CU125" s="166"/>
      <c r="CV125" s="166"/>
      <c r="CW125" s="166"/>
      <c r="CX125" s="166"/>
      <c r="CY125" s="166"/>
      <c r="CZ125" s="166"/>
      <c r="DA125" s="166"/>
      <c r="DB125" s="166"/>
      <c r="DC125" s="266"/>
      <c r="DD125" s="166"/>
      <c r="DE125" s="166"/>
      <c r="DF125" s="166"/>
      <c r="DG125" s="166"/>
      <c r="DH125" s="166"/>
      <c r="DI125" s="166"/>
      <c r="DJ125" s="166"/>
      <c r="DK125" s="166"/>
      <c r="DL125" s="166"/>
      <c r="DM125" s="166"/>
      <c r="DN125" s="166"/>
      <c r="DO125" s="166"/>
    </row>
    <row r="126" spans="1:119" ht="13.5" customHeight="1">
      <c r="A126" s="496"/>
      <c r="B126" s="496"/>
      <c r="C126" s="496"/>
      <c r="D126" s="496"/>
      <c r="E126" s="544"/>
      <c r="F126" s="544"/>
      <c r="G126" s="178">
        <v>7</v>
      </c>
      <c r="H126" s="179" t="str">
        <f>Einstrahlung!B52</f>
        <v>Mannheim</v>
      </c>
      <c r="I126" s="262"/>
      <c r="J126" s="262"/>
      <c r="K126" s="179"/>
      <c r="L126" s="176"/>
      <c r="M126" s="544"/>
      <c r="N126" s="544"/>
      <c r="O126" s="544"/>
      <c r="P126" s="544"/>
      <c r="Q126" s="544"/>
      <c r="R126" s="544"/>
      <c r="S126" s="544"/>
      <c r="T126" s="544"/>
      <c r="U126" s="275"/>
      <c r="V126" s="166"/>
      <c r="W126" s="166"/>
      <c r="X126" s="166"/>
      <c r="Y126" s="166"/>
      <c r="Z126" s="166"/>
      <c r="AA126" s="166"/>
      <c r="AB126" s="166"/>
      <c r="AC126" s="166"/>
      <c r="AD126" s="166"/>
      <c r="AE126" s="166"/>
      <c r="AF126" s="166"/>
      <c r="AG126" s="166"/>
      <c r="AH126" s="166"/>
      <c r="AI126" s="266"/>
      <c r="AJ126" s="266"/>
      <c r="AK126" s="266"/>
      <c r="AL126" s="266"/>
      <c r="AM126" s="166"/>
      <c r="AN126" s="166"/>
      <c r="AO126" s="166"/>
      <c r="AP126" s="166"/>
      <c r="AQ126" s="166"/>
      <c r="AR126" s="166"/>
      <c r="AS126" s="166"/>
      <c r="AT126" s="166"/>
      <c r="AU126" s="166"/>
      <c r="AV126" s="166"/>
      <c r="AW126" s="166"/>
      <c r="AX126" s="166"/>
      <c r="AY126" s="166"/>
      <c r="AZ126" s="166"/>
      <c r="BA126" s="166"/>
      <c r="BB126" s="266"/>
      <c r="BC126" s="166"/>
      <c r="BD126" s="166"/>
      <c r="BE126" s="166"/>
      <c r="BF126" s="166"/>
      <c r="BG126" s="166"/>
      <c r="BH126" s="166"/>
      <c r="BI126" s="166"/>
      <c r="BJ126" s="166"/>
      <c r="BK126" s="166"/>
      <c r="BL126" s="166"/>
      <c r="BM126" s="166"/>
      <c r="BN126" s="166"/>
      <c r="BO126" s="166"/>
      <c r="BP126" s="166"/>
      <c r="BQ126" s="166"/>
      <c r="BR126" s="166"/>
      <c r="BS126" s="266"/>
      <c r="BT126" s="266"/>
      <c r="BU126" s="831"/>
      <c r="BV126" s="266"/>
      <c r="BW126" s="266"/>
      <c r="BX126" s="266"/>
      <c r="BY126" s="266"/>
      <c r="BZ126" s="266"/>
      <c r="CA126" s="266"/>
      <c r="CB126" s="266"/>
      <c r="CC126" s="266"/>
      <c r="CD126" s="266"/>
      <c r="CE126" s="266"/>
      <c r="CF126" s="266"/>
      <c r="CG126" s="266"/>
      <c r="CH126" s="266"/>
      <c r="CI126" s="266"/>
      <c r="CJ126" s="266"/>
      <c r="CK126" s="166"/>
      <c r="CL126" s="166"/>
      <c r="CM126" s="166"/>
      <c r="CN126" s="166"/>
      <c r="CO126" s="166"/>
      <c r="CP126" s="166"/>
      <c r="CQ126" s="166"/>
      <c r="CR126" s="166"/>
      <c r="CS126" s="166"/>
      <c r="CT126" s="166"/>
      <c r="CU126" s="166"/>
      <c r="CV126" s="166"/>
      <c r="CW126" s="166"/>
      <c r="CX126" s="166"/>
      <c r="CY126" s="166"/>
      <c r="CZ126" s="166"/>
      <c r="DA126" s="166"/>
      <c r="DB126" s="166"/>
      <c r="DC126" s="266"/>
      <c r="DD126" s="166"/>
      <c r="DE126" s="166"/>
      <c r="DF126" s="166"/>
      <c r="DG126" s="166"/>
      <c r="DH126" s="166"/>
      <c r="DI126" s="166"/>
      <c r="DJ126" s="166"/>
      <c r="DK126" s="166"/>
      <c r="DL126" s="166"/>
      <c r="DM126" s="166"/>
      <c r="DN126" s="166"/>
      <c r="DO126" s="166"/>
    </row>
    <row r="127" spans="1:119" ht="13.5" customHeight="1">
      <c r="A127" s="496"/>
      <c r="B127" s="496"/>
      <c r="C127" s="496"/>
      <c r="D127" s="496"/>
      <c r="E127" s="544"/>
      <c r="F127" s="544"/>
      <c r="G127" s="178">
        <v>8</v>
      </c>
      <c r="H127" s="179" t="str">
        <f>Einstrahlung!B53</f>
        <v>München</v>
      </c>
      <c r="I127" s="262"/>
      <c r="J127" s="262"/>
      <c r="K127" s="179"/>
      <c r="L127" s="176"/>
      <c r="M127" s="544"/>
      <c r="N127" s="544"/>
      <c r="O127" s="544"/>
      <c r="P127" s="544"/>
      <c r="Q127" s="544"/>
      <c r="R127" s="544"/>
      <c r="S127" s="544"/>
      <c r="T127" s="544"/>
      <c r="U127" s="275"/>
      <c r="V127" s="166"/>
      <c r="W127" s="166"/>
      <c r="X127" s="166"/>
      <c r="Y127" s="166"/>
      <c r="Z127" s="166"/>
      <c r="AA127" s="166"/>
      <c r="AB127" s="166"/>
      <c r="AC127" s="166"/>
      <c r="AD127" s="166"/>
      <c r="AE127" s="166"/>
      <c r="AF127" s="166"/>
      <c r="AG127" s="166"/>
      <c r="AH127" s="166"/>
      <c r="AI127" s="266"/>
      <c r="AJ127" s="266"/>
      <c r="AK127" s="266"/>
      <c r="AL127" s="266"/>
      <c r="AM127" s="166"/>
      <c r="AN127" s="166"/>
      <c r="AO127" s="166"/>
      <c r="AP127" s="166"/>
      <c r="AQ127" s="166"/>
      <c r="AR127" s="166"/>
      <c r="AS127" s="166"/>
      <c r="AT127" s="166"/>
      <c r="AU127" s="166"/>
      <c r="AV127" s="166"/>
      <c r="AW127" s="166"/>
      <c r="AX127" s="166"/>
      <c r="AY127" s="166"/>
      <c r="AZ127" s="166"/>
      <c r="BA127" s="166"/>
      <c r="BB127" s="266"/>
      <c r="BC127" s="166"/>
      <c r="BD127" s="166"/>
      <c r="BE127" s="166"/>
      <c r="BF127" s="166"/>
      <c r="BG127" s="166"/>
      <c r="BH127" s="166"/>
      <c r="BI127" s="166"/>
      <c r="BJ127" s="166"/>
      <c r="BK127" s="166"/>
      <c r="BL127" s="166"/>
      <c r="BM127" s="166"/>
      <c r="BN127" s="166"/>
      <c r="BO127" s="166"/>
      <c r="BP127" s="166"/>
      <c r="BQ127" s="166"/>
      <c r="BR127" s="166"/>
      <c r="BS127" s="266"/>
      <c r="BT127" s="266"/>
      <c r="BU127" s="831"/>
      <c r="BV127" s="266"/>
      <c r="BW127" s="266"/>
      <c r="BX127" s="266"/>
      <c r="BY127" s="266"/>
      <c r="BZ127" s="266"/>
      <c r="CA127" s="266"/>
      <c r="CB127" s="266"/>
      <c r="CC127" s="266"/>
      <c r="CD127" s="266"/>
      <c r="CE127" s="266"/>
      <c r="CF127" s="266"/>
      <c r="CG127" s="266"/>
      <c r="CH127" s="266"/>
      <c r="CI127" s="266"/>
      <c r="CJ127" s="266"/>
      <c r="CK127" s="166"/>
      <c r="CL127" s="166"/>
      <c r="CM127" s="166"/>
      <c r="CN127" s="166"/>
      <c r="CO127" s="166"/>
      <c r="CP127" s="166"/>
      <c r="CQ127" s="166"/>
      <c r="CR127" s="166"/>
      <c r="CS127" s="166"/>
      <c r="CT127" s="166"/>
      <c r="CU127" s="166"/>
      <c r="CV127" s="166"/>
      <c r="CW127" s="166"/>
      <c r="CX127" s="166"/>
      <c r="CY127" s="166"/>
      <c r="CZ127" s="166"/>
      <c r="DA127" s="166"/>
      <c r="DB127" s="166"/>
      <c r="DC127" s="266"/>
      <c r="DD127" s="166"/>
      <c r="DE127" s="166"/>
      <c r="DF127" s="166"/>
      <c r="DG127" s="166"/>
      <c r="DH127" s="166"/>
      <c r="DI127" s="166"/>
      <c r="DJ127" s="166"/>
      <c r="DK127" s="166"/>
      <c r="DL127" s="166"/>
      <c r="DM127" s="166"/>
      <c r="DN127" s="166"/>
      <c r="DO127" s="166"/>
    </row>
    <row r="128" spans="1:119" ht="13.5" customHeight="1">
      <c r="A128" s="496"/>
      <c r="B128" s="496"/>
      <c r="C128" s="496"/>
      <c r="D128" s="496"/>
      <c r="E128" s="544"/>
      <c r="F128" s="544"/>
      <c r="G128" s="178">
        <v>9</v>
      </c>
      <c r="H128" s="179" t="str">
        <f>Einstrahlung!B54</f>
        <v>Ravensburg</v>
      </c>
      <c r="I128" s="262"/>
      <c r="J128" s="262"/>
      <c r="K128" s="179"/>
      <c r="L128" s="176"/>
      <c r="M128" s="544"/>
      <c r="N128" s="544"/>
      <c r="O128" s="544"/>
      <c r="P128" s="544"/>
      <c r="Q128" s="544"/>
      <c r="R128" s="544"/>
      <c r="S128" s="544"/>
      <c r="T128" s="544"/>
      <c r="U128" s="275"/>
      <c r="V128" s="166"/>
      <c r="W128" s="166"/>
      <c r="X128" s="166"/>
      <c r="Y128" s="166"/>
      <c r="Z128" s="166"/>
      <c r="AA128" s="166"/>
      <c r="AB128" s="166"/>
      <c r="AC128" s="166"/>
      <c r="AD128" s="166"/>
      <c r="AE128" s="166"/>
      <c r="AF128" s="166"/>
      <c r="AG128" s="166"/>
      <c r="AH128" s="166"/>
      <c r="AI128" s="266"/>
      <c r="AJ128" s="266"/>
      <c r="AK128" s="266"/>
      <c r="AL128" s="266"/>
      <c r="AM128" s="166"/>
      <c r="AN128" s="166"/>
      <c r="AO128" s="166"/>
      <c r="AP128" s="166"/>
      <c r="AQ128" s="166"/>
      <c r="AR128" s="166"/>
      <c r="AS128" s="166"/>
      <c r="AT128" s="166"/>
      <c r="AU128" s="166"/>
      <c r="AV128" s="166"/>
      <c r="AW128" s="166"/>
      <c r="AX128" s="166"/>
      <c r="AY128" s="166"/>
      <c r="AZ128" s="166"/>
      <c r="BA128" s="166"/>
      <c r="BB128" s="266"/>
      <c r="BC128" s="166"/>
      <c r="BD128" s="166"/>
      <c r="BE128" s="166"/>
      <c r="BF128" s="166"/>
      <c r="BG128" s="166"/>
      <c r="BH128" s="166"/>
      <c r="BI128" s="166"/>
      <c r="BJ128" s="166"/>
      <c r="BK128" s="166"/>
      <c r="BL128" s="166"/>
      <c r="BM128" s="166"/>
      <c r="BN128" s="166"/>
      <c r="BO128" s="166"/>
      <c r="BP128" s="166"/>
      <c r="BQ128" s="166"/>
      <c r="BR128" s="166"/>
      <c r="BS128" s="266"/>
      <c r="BT128" s="266"/>
      <c r="BU128" s="831"/>
      <c r="BV128" s="266"/>
      <c r="BW128" s="266"/>
      <c r="BX128" s="266"/>
      <c r="BY128" s="266"/>
      <c r="BZ128" s="266"/>
      <c r="CA128" s="266"/>
      <c r="CB128" s="266"/>
      <c r="CC128" s="266"/>
      <c r="CD128" s="266"/>
      <c r="CE128" s="266"/>
      <c r="CF128" s="266"/>
      <c r="CG128" s="266"/>
      <c r="CH128" s="266"/>
      <c r="CI128" s="266"/>
      <c r="CJ128" s="266"/>
      <c r="CK128" s="166"/>
      <c r="CL128" s="166"/>
      <c r="CM128" s="166"/>
      <c r="CN128" s="166"/>
      <c r="CO128" s="166"/>
      <c r="CP128" s="166"/>
      <c r="CQ128" s="166"/>
      <c r="CR128" s="166"/>
      <c r="CS128" s="166"/>
      <c r="CT128" s="166"/>
      <c r="CU128" s="166"/>
      <c r="CV128" s="166"/>
      <c r="CW128" s="166"/>
      <c r="CX128" s="166"/>
      <c r="CY128" s="166"/>
      <c r="CZ128" s="166"/>
      <c r="DA128" s="166"/>
      <c r="DB128" s="166"/>
      <c r="DC128" s="266"/>
      <c r="DD128" s="166"/>
      <c r="DE128" s="166"/>
      <c r="DF128" s="166"/>
      <c r="DG128" s="166"/>
      <c r="DH128" s="166"/>
      <c r="DI128" s="166"/>
      <c r="DJ128" s="166"/>
      <c r="DK128" s="166"/>
      <c r="DL128" s="166"/>
      <c r="DM128" s="166"/>
      <c r="DN128" s="166"/>
      <c r="DO128" s="166"/>
    </row>
    <row r="129" spans="1:119" ht="13.5" customHeight="1">
      <c r="A129" s="496"/>
      <c r="B129" s="496"/>
      <c r="C129" s="496"/>
      <c r="D129" s="496"/>
      <c r="E129" s="544"/>
      <c r="F129" s="544"/>
      <c r="G129" s="178">
        <v>10</v>
      </c>
      <c r="H129" s="179" t="str">
        <f>Einstrahlung!B55</f>
        <v>Stuttgart</v>
      </c>
      <c r="I129" s="262"/>
      <c r="J129" s="262"/>
      <c r="K129" s="179"/>
      <c r="L129" s="176"/>
      <c r="M129" s="544"/>
      <c r="N129" s="544"/>
      <c r="O129" s="544"/>
      <c r="P129" s="544"/>
      <c r="Q129" s="544"/>
      <c r="R129" s="544"/>
      <c r="S129" s="544"/>
      <c r="T129" s="544"/>
      <c r="U129" s="275"/>
      <c r="V129" s="166"/>
      <c r="W129" s="166"/>
      <c r="X129" s="166"/>
      <c r="Y129" s="166"/>
      <c r="Z129" s="166"/>
      <c r="AA129" s="166"/>
      <c r="AB129" s="166"/>
      <c r="AC129" s="166"/>
      <c r="AD129" s="166"/>
      <c r="AE129" s="166"/>
      <c r="AF129" s="166"/>
      <c r="AG129" s="166"/>
      <c r="AH129" s="166"/>
      <c r="AI129" s="266"/>
      <c r="AJ129" s="266"/>
      <c r="AK129" s="266"/>
      <c r="AL129" s="266"/>
      <c r="AM129" s="166"/>
      <c r="AN129" s="166"/>
      <c r="AO129" s="166"/>
      <c r="AP129" s="166"/>
      <c r="AQ129" s="166"/>
      <c r="AR129" s="166"/>
      <c r="AS129" s="166"/>
      <c r="AT129" s="166"/>
      <c r="AU129" s="166"/>
      <c r="AV129" s="166"/>
      <c r="AW129" s="166"/>
      <c r="AX129" s="166"/>
      <c r="AY129" s="166"/>
      <c r="AZ129" s="166"/>
      <c r="BA129" s="166"/>
      <c r="BB129" s="266"/>
      <c r="BC129" s="166"/>
      <c r="BD129" s="166"/>
      <c r="BE129" s="166"/>
      <c r="BF129" s="166"/>
      <c r="BG129" s="166"/>
      <c r="BH129" s="166"/>
      <c r="BI129" s="166"/>
      <c r="BJ129" s="166"/>
      <c r="BK129" s="166"/>
      <c r="BL129" s="166"/>
      <c r="BM129" s="166"/>
      <c r="BN129" s="166"/>
      <c r="BO129" s="166"/>
      <c r="BP129" s="166"/>
      <c r="BQ129" s="166"/>
      <c r="BR129" s="166"/>
      <c r="BS129" s="266"/>
      <c r="BT129" s="266"/>
      <c r="BU129" s="831"/>
      <c r="BV129" s="266"/>
      <c r="BW129" s="266"/>
      <c r="BX129" s="266"/>
      <c r="BY129" s="266"/>
      <c r="BZ129" s="266"/>
      <c r="CA129" s="266"/>
      <c r="CB129" s="266"/>
      <c r="CC129" s="266"/>
      <c r="CD129" s="266"/>
      <c r="CE129" s="266"/>
      <c r="CF129" s="266"/>
      <c r="CG129" s="266"/>
      <c r="CH129" s="266"/>
      <c r="CI129" s="266"/>
      <c r="CJ129" s="266"/>
      <c r="CK129" s="166"/>
      <c r="CL129" s="166"/>
      <c r="CM129" s="166"/>
      <c r="CN129" s="166"/>
      <c r="CO129" s="166"/>
      <c r="CP129" s="166"/>
      <c r="CQ129" s="166"/>
      <c r="CR129" s="166"/>
      <c r="CS129" s="166"/>
      <c r="CT129" s="166"/>
      <c r="CU129" s="166"/>
      <c r="CV129" s="166"/>
      <c r="CW129" s="166"/>
      <c r="CX129" s="166"/>
      <c r="CY129" s="166"/>
      <c r="CZ129" s="166"/>
      <c r="DA129" s="166"/>
      <c r="DB129" s="166"/>
      <c r="DC129" s="266"/>
      <c r="DD129" s="166"/>
      <c r="DE129" s="166"/>
      <c r="DF129" s="166"/>
      <c r="DG129" s="166"/>
      <c r="DH129" s="166"/>
      <c r="DI129" s="166"/>
      <c r="DJ129" s="166"/>
      <c r="DK129" s="166"/>
      <c r="DL129" s="166"/>
      <c r="DM129" s="166"/>
      <c r="DN129" s="166"/>
      <c r="DO129" s="166"/>
    </row>
    <row r="130" spans="1:119" ht="13.5" customHeight="1">
      <c r="A130" s="496"/>
      <c r="B130" s="496"/>
      <c r="C130" s="496"/>
      <c r="D130" s="496"/>
      <c r="E130" s="544"/>
      <c r="F130" s="544"/>
      <c r="G130" s="178">
        <v>11</v>
      </c>
      <c r="H130" s="179" t="str">
        <f>Einstrahlung!B56</f>
        <v>Ulm</v>
      </c>
      <c r="I130" s="262"/>
      <c r="J130" s="262"/>
      <c r="K130" s="179"/>
      <c r="L130" s="176"/>
      <c r="M130" s="544"/>
      <c r="N130" s="544"/>
      <c r="O130" s="544"/>
      <c r="P130" s="544"/>
      <c r="Q130" s="544"/>
      <c r="R130" s="544"/>
      <c r="S130" s="544"/>
      <c r="T130" s="544"/>
      <c r="U130" s="275"/>
      <c r="V130" s="166"/>
      <c r="W130" s="166"/>
      <c r="X130" s="166"/>
      <c r="Y130" s="166"/>
      <c r="Z130" s="166"/>
      <c r="AA130" s="166"/>
      <c r="AB130" s="166"/>
      <c r="AC130" s="166"/>
      <c r="AD130" s="166"/>
      <c r="AE130" s="166"/>
      <c r="AF130" s="166"/>
      <c r="AG130" s="166"/>
      <c r="AH130" s="166"/>
      <c r="AI130" s="266"/>
      <c r="AJ130" s="266"/>
      <c r="AK130" s="266"/>
      <c r="AL130" s="266"/>
      <c r="AM130" s="166"/>
      <c r="AN130" s="166"/>
      <c r="AO130" s="166"/>
      <c r="AP130" s="166"/>
      <c r="AQ130" s="166"/>
      <c r="AR130" s="166"/>
      <c r="AS130" s="166"/>
      <c r="AT130" s="166"/>
      <c r="AU130" s="166"/>
      <c r="AV130" s="166"/>
      <c r="AW130" s="166"/>
      <c r="AX130" s="166"/>
      <c r="AY130" s="166"/>
      <c r="AZ130" s="166"/>
      <c r="BA130" s="166"/>
      <c r="BB130" s="266"/>
      <c r="BC130" s="166"/>
      <c r="BD130" s="166"/>
      <c r="BE130" s="166"/>
      <c r="BF130" s="166"/>
      <c r="BG130" s="166"/>
      <c r="BH130" s="166"/>
      <c r="BI130" s="166"/>
      <c r="BJ130" s="166"/>
      <c r="BK130" s="166"/>
      <c r="BL130" s="166"/>
      <c r="BM130" s="166"/>
      <c r="BN130" s="166"/>
      <c r="BO130" s="166"/>
      <c r="BP130" s="166"/>
      <c r="BQ130" s="166"/>
      <c r="BR130" s="166"/>
      <c r="BS130" s="266"/>
      <c r="BT130" s="266"/>
      <c r="BU130" s="831"/>
      <c r="BV130" s="266"/>
      <c r="BW130" s="266"/>
      <c r="BX130" s="266"/>
      <c r="BY130" s="266"/>
      <c r="BZ130" s="266"/>
      <c r="CA130" s="266"/>
      <c r="CB130" s="266"/>
      <c r="CC130" s="266"/>
      <c r="CD130" s="266"/>
      <c r="CE130" s="266"/>
      <c r="CF130" s="266"/>
      <c r="CG130" s="266"/>
      <c r="CH130" s="266"/>
      <c r="CI130" s="266"/>
      <c r="CJ130" s="266"/>
      <c r="CK130" s="166"/>
      <c r="CL130" s="166"/>
      <c r="CM130" s="166"/>
      <c r="CN130" s="166"/>
      <c r="CO130" s="166"/>
      <c r="CP130" s="166"/>
      <c r="CQ130" s="166"/>
      <c r="CR130" s="166"/>
      <c r="CS130" s="166"/>
      <c r="CT130" s="166"/>
      <c r="CU130" s="166"/>
      <c r="CV130" s="166"/>
      <c r="CW130" s="166"/>
      <c r="CX130" s="166"/>
      <c r="CY130" s="166"/>
      <c r="CZ130" s="166"/>
      <c r="DA130" s="166"/>
      <c r="DB130" s="166"/>
      <c r="DC130" s="266"/>
      <c r="DD130" s="166"/>
      <c r="DE130" s="166"/>
      <c r="DF130" s="166"/>
      <c r="DG130" s="166"/>
      <c r="DH130" s="166"/>
      <c r="DI130" s="166"/>
      <c r="DJ130" s="166"/>
      <c r="DK130" s="166"/>
      <c r="DL130" s="166"/>
      <c r="DM130" s="166"/>
      <c r="DN130" s="166"/>
      <c r="DO130" s="166"/>
    </row>
    <row r="131" spans="1:119" ht="13.5" customHeight="1">
      <c r="A131" s="496"/>
      <c r="B131" s="496"/>
      <c r="C131" s="496"/>
      <c r="D131" s="496"/>
      <c r="E131" s="544"/>
      <c r="F131" s="544"/>
      <c r="G131" s="180">
        <v>12</v>
      </c>
      <c r="H131" s="181" t="str">
        <f>Einstrahlung!B57</f>
        <v>Würzburg</v>
      </c>
      <c r="I131" s="263"/>
      <c r="J131" s="263"/>
      <c r="K131" s="181"/>
      <c r="L131" s="177"/>
      <c r="M131" s="544"/>
      <c r="N131" s="544"/>
      <c r="O131" s="544"/>
      <c r="P131" s="544"/>
      <c r="Q131" s="544"/>
      <c r="R131" s="544"/>
      <c r="S131" s="544"/>
      <c r="T131" s="544"/>
      <c r="U131" s="275"/>
      <c r="V131" s="166"/>
      <c r="W131" s="166"/>
      <c r="X131" s="166"/>
      <c r="Y131" s="166"/>
      <c r="Z131" s="166"/>
      <c r="AA131" s="166"/>
      <c r="AB131" s="166"/>
      <c r="AC131" s="166"/>
      <c r="AD131" s="166"/>
      <c r="AE131" s="166"/>
      <c r="AF131" s="166"/>
      <c r="AG131" s="166"/>
      <c r="AH131" s="166"/>
      <c r="AI131" s="266"/>
      <c r="AJ131" s="266"/>
      <c r="AK131" s="266"/>
      <c r="AL131" s="266"/>
      <c r="AM131" s="166"/>
      <c r="AN131" s="166"/>
      <c r="AO131" s="166"/>
      <c r="AP131" s="166"/>
      <c r="AQ131" s="166"/>
      <c r="AR131" s="166"/>
      <c r="AS131" s="166"/>
      <c r="AT131" s="166"/>
      <c r="AU131" s="166"/>
      <c r="AV131" s="166"/>
      <c r="AW131" s="166"/>
      <c r="AX131" s="166"/>
      <c r="AY131" s="166"/>
      <c r="AZ131" s="166"/>
      <c r="BA131" s="166"/>
      <c r="BB131" s="266"/>
      <c r="BC131" s="166"/>
      <c r="BD131" s="166"/>
      <c r="BE131" s="166"/>
      <c r="BF131" s="166"/>
      <c r="BG131" s="166"/>
      <c r="BH131" s="166"/>
      <c r="BI131" s="166"/>
      <c r="BJ131" s="166"/>
      <c r="BK131" s="166"/>
      <c r="BL131" s="166"/>
      <c r="BM131" s="166"/>
      <c r="BN131" s="166"/>
      <c r="BO131" s="166"/>
      <c r="BP131" s="166"/>
      <c r="BQ131" s="166"/>
      <c r="BR131" s="166"/>
      <c r="BS131" s="266"/>
      <c r="BT131" s="266"/>
      <c r="BU131" s="831"/>
      <c r="BV131" s="266"/>
      <c r="BW131" s="266"/>
      <c r="BX131" s="266"/>
      <c r="BY131" s="266"/>
      <c r="BZ131" s="266"/>
      <c r="CA131" s="266"/>
      <c r="CB131" s="266"/>
      <c r="CC131" s="266"/>
      <c r="CD131" s="266"/>
      <c r="CE131" s="266"/>
      <c r="CF131" s="266"/>
      <c r="CG131" s="266"/>
      <c r="CH131" s="266"/>
      <c r="CI131" s="266"/>
      <c r="CJ131" s="266"/>
      <c r="CK131" s="166"/>
      <c r="CL131" s="166"/>
      <c r="CM131" s="166"/>
      <c r="CN131" s="166"/>
      <c r="CO131" s="166"/>
      <c r="CP131" s="166"/>
      <c r="CQ131" s="166"/>
      <c r="CR131" s="166"/>
      <c r="CS131" s="166"/>
      <c r="CT131" s="166"/>
      <c r="CU131" s="166"/>
      <c r="CV131" s="166"/>
      <c r="CW131" s="166"/>
      <c r="CX131" s="166"/>
      <c r="CY131" s="166"/>
      <c r="CZ131" s="166"/>
      <c r="DA131" s="166"/>
      <c r="DB131" s="166"/>
      <c r="DC131" s="266"/>
      <c r="DD131" s="166"/>
      <c r="DE131" s="166"/>
      <c r="DF131" s="166"/>
      <c r="DG131" s="166"/>
      <c r="DH131" s="166"/>
      <c r="DI131" s="166"/>
      <c r="DJ131" s="166"/>
      <c r="DK131" s="166"/>
      <c r="DL131" s="166"/>
      <c r="DM131" s="166"/>
      <c r="DN131" s="166"/>
      <c r="DO131" s="166"/>
    </row>
    <row r="132" spans="1:119" ht="13.5" customHeight="1">
      <c r="A132" s="496"/>
      <c r="B132" s="496"/>
      <c r="C132" s="496"/>
      <c r="D132" s="496"/>
      <c r="E132" s="544"/>
      <c r="F132" s="544"/>
      <c r="G132" s="13"/>
      <c r="H132" s="13"/>
      <c r="I132" s="13"/>
      <c r="J132" s="13"/>
      <c r="K132" s="13"/>
      <c r="L132" s="13"/>
      <c r="M132" s="544"/>
      <c r="N132" s="544"/>
      <c r="O132" s="544"/>
      <c r="P132" s="544"/>
      <c r="Q132" s="544"/>
      <c r="R132" s="544"/>
      <c r="S132" s="544"/>
      <c r="T132" s="544"/>
      <c r="U132" s="275"/>
      <c r="V132" s="166"/>
      <c r="W132" s="166"/>
      <c r="X132" s="166"/>
      <c r="Y132" s="166"/>
      <c r="Z132" s="166"/>
      <c r="AA132" s="166"/>
      <c r="AB132" s="166"/>
      <c r="AC132" s="166"/>
      <c r="AD132" s="166"/>
      <c r="AE132" s="166"/>
      <c r="AF132" s="166"/>
      <c r="AG132" s="166"/>
      <c r="AH132" s="166"/>
      <c r="AI132" s="266"/>
      <c r="AJ132" s="266"/>
      <c r="AK132" s="266"/>
      <c r="AL132" s="266"/>
      <c r="AM132" s="166"/>
      <c r="AN132" s="166"/>
      <c r="AO132" s="166"/>
      <c r="AP132" s="166"/>
      <c r="AQ132" s="166"/>
      <c r="AR132" s="166"/>
      <c r="AS132" s="166"/>
      <c r="AT132" s="166"/>
      <c r="AU132" s="166"/>
      <c r="AV132" s="166"/>
      <c r="AW132" s="166"/>
      <c r="AX132" s="166"/>
      <c r="AY132" s="166"/>
      <c r="AZ132" s="166"/>
      <c r="BA132" s="166"/>
      <c r="BB132" s="266"/>
      <c r="BC132" s="166"/>
      <c r="BD132" s="166"/>
      <c r="BE132" s="166"/>
      <c r="BF132" s="166"/>
      <c r="BG132" s="166"/>
      <c r="BH132" s="166"/>
      <c r="BI132" s="166"/>
      <c r="BJ132" s="166"/>
      <c r="BK132" s="166"/>
      <c r="BL132" s="166"/>
      <c r="BM132" s="166"/>
      <c r="BN132" s="166"/>
      <c r="BO132" s="166"/>
      <c r="BP132" s="166"/>
      <c r="BQ132" s="166"/>
      <c r="BR132" s="166"/>
      <c r="BS132" s="266"/>
      <c r="BT132" s="266"/>
      <c r="BU132" s="831"/>
      <c r="BV132" s="266"/>
      <c r="BW132" s="266"/>
      <c r="BX132" s="266"/>
      <c r="BY132" s="266"/>
      <c r="BZ132" s="266"/>
      <c r="CA132" s="266"/>
      <c r="CB132" s="266"/>
      <c r="CC132" s="266"/>
      <c r="CD132" s="266"/>
      <c r="CE132" s="266"/>
      <c r="CF132" s="266"/>
      <c r="CG132" s="266"/>
      <c r="CH132" s="266"/>
      <c r="CI132" s="266"/>
      <c r="CJ132" s="266"/>
      <c r="CK132" s="166"/>
      <c r="CL132" s="166"/>
      <c r="CM132" s="166"/>
      <c r="CN132" s="166"/>
      <c r="CO132" s="166"/>
      <c r="CP132" s="166"/>
      <c r="CQ132" s="166"/>
      <c r="CR132" s="166"/>
      <c r="CS132" s="166"/>
      <c r="CT132" s="166"/>
      <c r="CU132" s="166"/>
      <c r="CV132" s="166"/>
      <c r="CW132" s="166"/>
      <c r="CX132" s="166"/>
      <c r="CY132" s="166"/>
      <c r="CZ132" s="166"/>
      <c r="DA132" s="166"/>
      <c r="DB132" s="166"/>
      <c r="DC132" s="266"/>
      <c r="DD132" s="166"/>
      <c r="DE132" s="166"/>
      <c r="DF132" s="166"/>
      <c r="DG132" s="166"/>
      <c r="DH132" s="166"/>
      <c r="DI132" s="166"/>
      <c r="DJ132" s="166"/>
      <c r="DK132" s="166"/>
      <c r="DL132" s="166"/>
      <c r="DM132" s="166"/>
      <c r="DN132" s="166"/>
      <c r="DO132" s="166"/>
    </row>
    <row r="133" spans="1:119" ht="13.5" customHeight="1">
      <c r="A133" s="496"/>
      <c r="B133" s="496"/>
      <c r="C133" s="496"/>
      <c r="D133" s="496"/>
      <c r="E133" s="544"/>
      <c r="F133" s="544"/>
      <c r="G133" s="174" t="s">
        <v>210</v>
      </c>
      <c r="H133" s="182"/>
      <c r="I133" s="182"/>
      <c r="J133" s="182"/>
      <c r="K133" s="182"/>
      <c r="L133" s="175"/>
      <c r="M133" s="544"/>
      <c r="N133" s="544"/>
      <c r="O133" s="544"/>
      <c r="P133" s="544"/>
      <c r="Q133" s="544"/>
      <c r="R133" s="544"/>
      <c r="S133" s="544"/>
      <c r="T133" s="544"/>
      <c r="U133" s="275"/>
      <c r="V133" s="166"/>
      <c r="W133" s="166"/>
      <c r="X133" s="166"/>
      <c r="Y133" s="166"/>
      <c r="Z133" s="166"/>
      <c r="AA133" s="166"/>
      <c r="AB133" s="166"/>
      <c r="AC133" s="166"/>
      <c r="AD133" s="166"/>
      <c r="AE133" s="166"/>
      <c r="AF133" s="166"/>
      <c r="AG133" s="166"/>
      <c r="AH133" s="166"/>
      <c r="AI133" s="266"/>
      <c r="AJ133" s="266"/>
      <c r="AK133" s="266"/>
      <c r="AL133" s="266"/>
      <c r="AM133" s="166"/>
      <c r="AN133" s="166"/>
      <c r="AO133" s="166"/>
      <c r="AP133" s="166"/>
      <c r="AQ133" s="166"/>
      <c r="AR133" s="166"/>
      <c r="AS133" s="166"/>
      <c r="AT133" s="166"/>
      <c r="AU133" s="166"/>
      <c r="AV133" s="166"/>
      <c r="AW133" s="166"/>
      <c r="AX133" s="166"/>
      <c r="AY133" s="166"/>
      <c r="AZ133" s="166"/>
      <c r="BA133" s="166"/>
      <c r="BB133" s="266"/>
      <c r="BC133" s="166"/>
      <c r="BD133" s="166"/>
      <c r="BE133" s="166"/>
      <c r="BF133" s="166"/>
      <c r="BG133" s="166"/>
      <c r="BH133" s="166"/>
      <c r="BI133" s="166"/>
      <c r="BJ133" s="166"/>
      <c r="BK133" s="166"/>
      <c r="BL133" s="166"/>
      <c r="BM133" s="166"/>
      <c r="BN133" s="166"/>
      <c r="BO133" s="166"/>
      <c r="BP133" s="166"/>
      <c r="BQ133" s="166"/>
      <c r="BR133" s="166"/>
      <c r="BS133" s="266"/>
      <c r="BT133" s="266"/>
      <c r="BU133" s="831"/>
      <c r="BV133" s="266"/>
      <c r="BW133" s="266"/>
      <c r="BX133" s="266"/>
      <c r="BY133" s="266"/>
      <c r="BZ133" s="266"/>
      <c r="CA133" s="266"/>
      <c r="CB133" s="266"/>
      <c r="CC133" s="266"/>
      <c r="CD133" s="266"/>
      <c r="CE133" s="266"/>
      <c r="CF133" s="266"/>
      <c r="CG133" s="266"/>
      <c r="CH133" s="266"/>
      <c r="CI133" s="266"/>
      <c r="CJ133" s="266"/>
      <c r="CK133" s="166"/>
      <c r="CL133" s="166"/>
      <c r="CM133" s="166"/>
      <c r="CN133" s="166"/>
      <c r="CO133" s="166"/>
      <c r="CP133" s="166"/>
      <c r="CQ133" s="166"/>
      <c r="CR133" s="166"/>
      <c r="CS133" s="166"/>
      <c r="CT133" s="166"/>
      <c r="CU133" s="166"/>
      <c r="CV133" s="166"/>
      <c r="CW133" s="166"/>
      <c r="CX133" s="166"/>
      <c r="CY133" s="166"/>
      <c r="CZ133" s="166"/>
      <c r="DA133" s="166"/>
      <c r="DB133" s="166"/>
      <c r="DC133" s="266"/>
      <c r="DD133" s="166"/>
      <c r="DE133" s="166"/>
      <c r="DF133" s="166"/>
      <c r="DG133" s="166"/>
      <c r="DH133" s="166"/>
      <c r="DI133" s="166"/>
      <c r="DJ133" s="166"/>
      <c r="DK133" s="166"/>
      <c r="DL133" s="166"/>
      <c r="DM133" s="166"/>
      <c r="DN133" s="166"/>
      <c r="DO133" s="166"/>
    </row>
    <row r="134" spans="1:119" ht="13.5" customHeight="1">
      <c r="A134" s="496"/>
      <c r="B134" s="496"/>
      <c r="C134" s="496"/>
      <c r="D134" s="496"/>
      <c r="E134" s="544"/>
      <c r="F134" s="544"/>
      <c r="G134" s="178">
        <v>1</v>
      </c>
      <c r="H134" s="179" t="s">
        <v>133</v>
      </c>
      <c r="I134" s="262"/>
      <c r="J134" s="262"/>
      <c r="K134" s="179"/>
      <c r="L134" s="176"/>
      <c r="M134" s="544"/>
      <c r="N134" s="544"/>
      <c r="O134" s="544"/>
      <c r="P134" s="544"/>
      <c r="Q134" s="544"/>
      <c r="R134" s="544"/>
      <c r="S134" s="544"/>
      <c r="T134" s="544"/>
      <c r="U134" s="275"/>
      <c r="V134" s="166"/>
      <c r="W134" s="166"/>
      <c r="X134" s="166"/>
      <c r="Y134" s="166"/>
      <c r="Z134" s="166"/>
      <c r="AA134" s="166"/>
      <c r="AB134" s="166"/>
      <c r="AC134" s="166"/>
      <c r="AD134" s="166"/>
      <c r="AE134" s="166"/>
      <c r="AF134" s="166"/>
      <c r="AG134" s="166"/>
      <c r="AH134" s="166"/>
      <c r="AI134" s="266"/>
      <c r="AJ134" s="266"/>
      <c r="AK134" s="266"/>
      <c r="AL134" s="266"/>
      <c r="AM134" s="166"/>
      <c r="AN134" s="166"/>
      <c r="AO134" s="166"/>
      <c r="AP134" s="166"/>
      <c r="AQ134" s="166"/>
      <c r="AR134" s="166"/>
      <c r="AS134" s="166"/>
      <c r="AT134" s="166"/>
      <c r="AU134" s="166"/>
      <c r="AV134" s="166"/>
      <c r="AW134" s="166"/>
      <c r="AX134" s="166"/>
      <c r="AY134" s="166"/>
      <c r="AZ134" s="166"/>
      <c r="BA134" s="166"/>
      <c r="BB134" s="266"/>
      <c r="BC134" s="166"/>
      <c r="BD134" s="166"/>
      <c r="BE134" s="166"/>
      <c r="BF134" s="166"/>
      <c r="BG134" s="166"/>
      <c r="BH134" s="166"/>
      <c r="BI134" s="166"/>
      <c r="BJ134" s="166"/>
      <c r="BK134" s="166"/>
      <c r="BL134" s="166"/>
      <c r="BM134" s="166"/>
      <c r="BN134" s="166"/>
      <c r="BO134" s="166"/>
      <c r="BP134" s="166"/>
      <c r="BQ134" s="166"/>
      <c r="BR134" s="166"/>
      <c r="BS134" s="266"/>
      <c r="BT134" s="266"/>
      <c r="BU134" s="831"/>
      <c r="BV134" s="266"/>
      <c r="BW134" s="266"/>
      <c r="BX134" s="266"/>
      <c r="BY134" s="266"/>
      <c r="BZ134" s="266"/>
      <c r="CA134" s="266"/>
      <c r="CB134" s="266"/>
      <c r="CC134" s="266"/>
      <c r="CD134" s="266"/>
      <c r="CE134" s="266"/>
      <c r="CF134" s="266"/>
      <c r="CG134" s="266"/>
      <c r="CH134" s="266"/>
      <c r="CI134" s="266"/>
      <c r="CJ134" s="266"/>
      <c r="CK134" s="166"/>
      <c r="CL134" s="166"/>
      <c r="CM134" s="166"/>
      <c r="CN134" s="166"/>
      <c r="CO134" s="166"/>
      <c r="CP134" s="166"/>
      <c r="CQ134" s="166"/>
      <c r="CR134" s="166"/>
      <c r="CS134" s="166"/>
      <c r="CT134" s="166"/>
      <c r="CU134" s="166"/>
      <c r="CV134" s="166"/>
      <c r="CW134" s="166"/>
      <c r="CX134" s="166"/>
      <c r="CY134" s="166"/>
      <c r="CZ134" s="166"/>
      <c r="DA134" s="166"/>
      <c r="DB134" s="166"/>
      <c r="DC134" s="266"/>
      <c r="DD134" s="166"/>
      <c r="DE134" s="166"/>
      <c r="DF134" s="166"/>
      <c r="DG134" s="166"/>
      <c r="DH134" s="166"/>
      <c r="DI134" s="166"/>
      <c r="DJ134" s="166"/>
      <c r="DK134" s="166"/>
      <c r="DL134" s="166"/>
      <c r="DM134" s="166"/>
      <c r="DN134" s="166"/>
      <c r="DO134" s="166"/>
    </row>
    <row r="135" spans="1:119" ht="13.5" customHeight="1">
      <c r="A135" s="496"/>
      <c r="B135" s="496"/>
      <c r="C135" s="496"/>
      <c r="D135" s="496"/>
      <c r="E135" s="544"/>
      <c r="F135" s="544"/>
      <c r="G135" s="178">
        <v>2</v>
      </c>
      <c r="H135" s="179" t="s">
        <v>135</v>
      </c>
      <c r="I135" s="262"/>
      <c r="J135" s="262"/>
      <c r="K135" s="179"/>
      <c r="L135" s="176"/>
      <c r="M135" s="544"/>
      <c r="N135" s="544"/>
      <c r="O135" s="544"/>
      <c r="P135" s="544"/>
      <c r="Q135" s="544"/>
      <c r="R135" s="544"/>
      <c r="S135" s="544"/>
      <c r="T135" s="544"/>
      <c r="U135" s="275"/>
      <c r="V135" s="166"/>
      <c r="W135" s="166"/>
      <c r="X135" s="166"/>
      <c r="Y135" s="166"/>
      <c r="Z135" s="166"/>
      <c r="AA135" s="166"/>
      <c r="AB135" s="166"/>
      <c r="AC135" s="166"/>
      <c r="AD135" s="166"/>
      <c r="AE135" s="166"/>
      <c r="AF135" s="166"/>
      <c r="AG135" s="166"/>
      <c r="AH135" s="166"/>
      <c r="AI135" s="266"/>
      <c r="AJ135" s="266"/>
      <c r="AK135" s="266"/>
      <c r="AL135" s="266"/>
      <c r="AM135" s="166"/>
      <c r="AN135" s="166"/>
      <c r="AO135" s="166"/>
      <c r="AP135" s="166"/>
      <c r="AQ135" s="166"/>
      <c r="AR135" s="166"/>
      <c r="AS135" s="166"/>
      <c r="AT135" s="166"/>
      <c r="AU135" s="166"/>
      <c r="AV135" s="166"/>
      <c r="AW135" s="166"/>
      <c r="AX135" s="166"/>
      <c r="AY135" s="166"/>
      <c r="AZ135" s="166"/>
      <c r="BA135" s="166"/>
      <c r="BB135" s="266"/>
      <c r="BC135" s="166"/>
      <c r="BD135" s="166"/>
      <c r="BE135" s="166"/>
      <c r="BF135" s="166"/>
      <c r="BG135" s="166"/>
      <c r="BH135" s="166"/>
      <c r="BI135" s="166"/>
      <c r="BJ135" s="166"/>
      <c r="BK135" s="166"/>
      <c r="BL135" s="166"/>
      <c r="BM135" s="166"/>
      <c r="BN135" s="166"/>
      <c r="BO135" s="166"/>
      <c r="BP135" s="166"/>
      <c r="BQ135" s="166"/>
      <c r="BR135" s="166"/>
      <c r="BS135" s="266"/>
      <c r="BT135" s="266"/>
      <c r="BU135" s="831"/>
      <c r="BV135" s="266"/>
      <c r="BW135" s="266"/>
      <c r="BX135" s="266"/>
      <c r="BY135" s="266"/>
      <c r="BZ135" s="266"/>
      <c r="CA135" s="266"/>
      <c r="CB135" s="266"/>
      <c r="CC135" s="266"/>
      <c r="CD135" s="266"/>
      <c r="CE135" s="266"/>
      <c r="CF135" s="266"/>
      <c r="CG135" s="266"/>
      <c r="CH135" s="266"/>
      <c r="CI135" s="266"/>
      <c r="CJ135" s="266"/>
      <c r="CK135" s="166"/>
      <c r="CL135" s="166"/>
      <c r="CM135" s="166"/>
      <c r="CN135" s="166"/>
      <c r="CO135" s="166"/>
      <c r="CP135" s="166"/>
      <c r="CQ135" s="166"/>
      <c r="CR135" s="166"/>
      <c r="CS135" s="166"/>
      <c r="CT135" s="166"/>
      <c r="CU135" s="166"/>
      <c r="CV135" s="166"/>
      <c r="CW135" s="166"/>
      <c r="CX135" s="166"/>
      <c r="CY135" s="166"/>
      <c r="CZ135" s="166"/>
      <c r="DA135" s="166"/>
      <c r="DB135" s="166"/>
      <c r="DC135" s="266"/>
      <c r="DD135" s="166"/>
      <c r="DE135" s="166"/>
      <c r="DF135" s="166"/>
      <c r="DG135" s="166"/>
      <c r="DH135" s="166"/>
      <c r="DI135" s="166"/>
      <c r="DJ135" s="166"/>
      <c r="DK135" s="166"/>
      <c r="DL135" s="166"/>
      <c r="DM135" s="166"/>
      <c r="DN135" s="166"/>
      <c r="DO135" s="166"/>
    </row>
    <row r="136" spans="1:119" ht="13.5" customHeight="1">
      <c r="A136" s="496"/>
      <c r="B136" s="496"/>
      <c r="C136" s="496"/>
      <c r="D136" s="496"/>
      <c r="E136" s="544"/>
      <c r="F136" s="544"/>
      <c r="G136" s="178">
        <v>3</v>
      </c>
      <c r="H136" s="179" t="s">
        <v>151</v>
      </c>
      <c r="I136" s="262"/>
      <c r="J136" s="262"/>
      <c r="K136" s="179"/>
      <c r="L136" s="176"/>
      <c r="M136" s="544"/>
      <c r="N136" s="544"/>
      <c r="O136" s="544"/>
      <c r="P136" s="544"/>
      <c r="Q136" s="544"/>
      <c r="R136" s="544"/>
      <c r="S136" s="544"/>
      <c r="T136" s="544"/>
      <c r="U136" s="275"/>
      <c r="V136" s="166"/>
      <c r="W136" s="166"/>
      <c r="X136" s="166"/>
      <c r="Y136" s="166"/>
      <c r="Z136" s="166"/>
      <c r="AA136" s="166"/>
      <c r="AB136" s="166"/>
      <c r="AC136" s="166"/>
      <c r="AD136" s="166"/>
      <c r="AE136" s="166"/>
      <c r="AF136" s="166"/>
      <c r="AG136" s="166"/>
      <c r="AH136" s="166"/>
      <c r="AI136" s="266"/>
      <c r="AJ136" s="266"/>
      <c r="AK136" s="266"/>
      <c r="AL136" s="266"/>
      <c r="AM136" s="166"/>
      <c r="AN136" s="166"/>
      <c r="AO136" s="166"/>
      <c r="AP136" s="166"/>
      <c r="AQ136" s="166"/>
      <c r="AR136" s="166"/>
      <c r="AS136" s="166"/>
      <c r="AT136" s="166"/>
      <c r="AU136" s="166"/>
      <c r="AV136" s="166"/>
      <c r="AW136" s="166"/>
      <c r="AX136" s="166"/>
      <c r="AY136" s="166"/>
      <c r="AZ136" s="166"/>
      <c r="BA136" s="166"/>
      <c r="BB136" s="266"/>
      <c r="BC136" s="166"/>
      <c r="BD136" s="166"/>
      <c r="BE136" s="166"/>
      <c r="BF136" s="166"/>
      <c r="BG136" s="166"/>
      <c r="BH136" s="166"/>
      <c r="BI136" s="166"/>
      <c r="BJ136" s="166"/>
      <c r="BK136" s="166"/>
      <c r="BL136" s="166"/>
      <c r="BM136" s="166"/>
      <c r="BN136" s="166"/>
      <c r="BO136" s="166"/>
      <c r="BP136" s="166"/>
      <c r="BQ136" s="166"/>
      <c r="BR136" s="166"/>
      <c r="BS136" s="266"/>
      <c r="BT136" s="266"/>
      <c r="BU136" s="831"/>
      <c r="BV136" s="266"/>
      <c r="BW136" s="266"/>
      <c r="BX136" s="266"/>
      <c r="BY136" s="266"/>
      <c r="BZ136" s="266"/>
      <c r="CA136" s="266"/>
      <c r="CB136" s="266"/>
      <c r="CC136" s="266"/>
      <c r="CD136" s="266"/>
      <c r="CE136" s="266"/>
      <c r="CF136" s="266"/>
      <c r="CG136" s="266"/>
      <c r="CH136" s="266"/>
      <c r="CI136" s="266"/>
      <c r="CJ136" s="266"/>
      <c r="CK136" s="166"/>
      <c r="CL136" s="166"/>
      <c r="CM136" s="166"/>
      <c r="CN136" s="166"/>
      <c r="CO136" s="166"/>
      <c r="CP136" s="166"/>
      <c r="CQ136" s="166"/>
      <c r="CR136" s="166"/>
      <c r="CS136" s="166"/>
      <c r="CT136" s="166"/>
      <c r="CU136" s="166"/>
      <c r="CV136" s="166"/>
      <c r="CW136" s="166"/>
      <c r="CX136" s="166"/>
      <c r="CY136" s="166"/>
      <c r="CZ136" s="166"/>
      <c r="DA136" s="166"/>
      <c r="DB136" s="166"/>
      <c r="DC136" s="266"/>
      <c r="DD136" s="166"/>
      <c r="DE136" s="166"/>
      <c r="DF136" s="166"/>
      <c r="DG136" s="166"/>
      <c r="DH136" s="166"/>
      <c r="DI136" s="166"/>
      <c r="DJ136" s="166"/>
      <c r="DK136" s="166"/>
      <c r="DL136" s="166"/>
      <c r="DM136" s="166"/>
      <c r="DN136" s="166"/>
      <c r="DO136" s="166"/>
    </row>
    <row r="137" spans="1:119" ht="13.5" customHeight="1">
      <c r="A137" s="496"/>
      <c r="B137" s="496"/>
      <c r="C137" s="496"/>
      <c r="D137" s="496"/>
      <c r="E137" s="544"/>
      <c r="F137" s="544"/>
      <c r="G137" s="178">
        <v>4</v>
      </c>
      <c r="H137" s="179" t="s">
        <v>137</v>
      </c>
      <c r="I137" s="262"/>
      <c r="J137" s="262"/>
      <c r="K137" s="179"/>
      <c r="L137" s="176"/>
      <c r="M137" s="544"/>
      <c r="N137" s="544"/>
      <c r="O137" s="544"/>
      <c r="P137" s="544"/>
      <c r="Q137" s="544"/>
      <c r="R137" s="544"/>
      <c r="S137" s="544"/>
      <c r="T137" s="544"/>
      <c r="U137" s="275"/>
      <c r="V137" s="166"/>
      <c r="W137" s="166"/>
      <c r="X137" s="166"/>
      <c r="Y137" s="166"/>
      <c r="Z137" s="166"/>
      <c r="AA137" s="166"/>
      <c r="AB137" s="166"/>
      <c r="AC137" s="166"/>
      <c r="AD137" s="166"/>
      <c r="AE137" s="166"/>
      <c r="AF137" s="166"/>
      <c r="AG137" s="166"/>
      <c r="AH137" s="166"/>
      <c r="AI137" s="266"/>
      <c r="AJ137" s="266"/>
      <c r="AK137" s="266"/>
      <c r="AL137" s="266"/>
      <c r="AM137" s="166"/>
      <c r="AN137" s="166"/>
      <c r="AO137" s="166"/>
      <c r="AP137" s="166"/>
      <c r="AQ137" s="166"/>
      <c r="AR137" s="166"/>
      <c r="AS137" s="166"/>
      <c r="AT137" s="166"/>
      <c r="AU137" s="166"/>
      <c r="AV137" s="166"/>
      <c r="AW137" s="166"/>
      <c r="AX137" s="166"/>
      <c r="AY137" s="166"/>
      <c r="AZ137" s="166"/>
      <c r="BA137" s="166"/>
      <c r="BB137" s="266"/>
      <c r="BC137" s="166"/>
      <c r="BD137" s="166"/>
      <c r="BE137" s="166"/>
      <c r="BF137" s="166"/>
      <c r="BG137" s="166"/>
      <c r="BH137" s="166"/>
      <c r="BI137" s="166"/>
      <c r="BJ137" s="166"/>
      <c r="BK137" s="166"/>
      <c r="BL137" s="166"/>
      <c r="BM137" s="166"/>
      <c r="BN137" s="166"/>
      <c r="BO137" s="166"/>
      <c r="BP137" s="166"/>
      <c r="BQ137" s="166"/>
      <c r="BR137" s="166"/>
      <c r="BS137" s="266"/>
      <c r="BT137" s="266"/>
      <c r="BU137" s="831"/>
      <c r="BV137" s="266"/>
      <c r="BW137" s="266"/>
      <c r="BX137" s="266"/>
      <c r="BY137" s="266"/>
      <c r="BZ137" s="266"/>
      <c r="CA137" s="266"/>
      <c r="CB137" s="266"/>
      <c r="CC137" s="266"/>
      <c r="CD137" s="266"/>
      <c r="CE137" s="266"/>
      <c r="CF137" s="266"/>
      <c r="CG137" s="266"/>
      <c r="CH137" s="266"/>
      <c r="CI137" s="266"/>
      <c r="CJ137" s="266"/>
      <c r="CK137" s="166"/>
      <c r="CL137" s="166"/>
      <c r="CM137" s="166"/>
      <c r="CN137" s="166"/>
      <c r="CO137" s="166"/>
      <c r="CP137" s="166"/>
      <c r="CQ137" s="166"/>
      <c r="CR137" s="166"/>
      <c r="CS137" s="166"/>
      <c r="CT137" s="166"/>
      <c r="CU137" s="166"/>
      <c r="CV137" s="166"/>
      <c r="CW137" s="166"/>
      <c r="CX137" s="166"/>
      <c r="CY137" s="166"/>
      <c r="CZ137" s="166"/>
      <c r="DA137" s="166"/>
      <c r="DB137" s="166"/>
      <c r="DC137" s="266"/>
      <c r="DD137" s="166"/>
      <c r="DE137" s="166"/>
      <c r="DF137" s="166"/>
      <c r="DG137" s="166"/>
      <c r="DH137" s="166"/>
      <c r="DI137" s="166"/>
      <c r="DJ137" s="166"/>
      <c r="DK137" s="166"/>
      <c r="DL137" s="166"/>
      <c r="DM137" s="166"/>
      <c r="DN137" s="166"/>
      <c r="DO137" s="166"/>
    </row>
    <row r="138" spans="1:119" ht="13.5" customHeight="1">
      <c r="A138" s="496"/>
      <c r="B138" s="496"/>
      <c r="C138" s="496"/>
      <c r="D138" s="496"/>
      <c r="E138" s="544"/>
      <c r="F138" s="544"/>
      <c r="G138" s="178">
        <v>5</v>
      </c>
      <c r="H138" s="179" t="s">
        <v>138</v>
      </c>
      <c r="I138" s="262"/>
      <c r="J138" s="262"/>
      <c r="K138" s="179"/>
      <c r="L138" s="176"/>
      <c r="M138" s="544"/>
      <c r="N138" s="544"/>
      <c r="O138" s="544"/>
      <c r="P138" s="544"/>
      <c r="Q138" s="544"/>
      <c r="R138" s="544"/>
      <c r="S138" s="544"/>
      <c r="T138" s="544"/>
      <c r="U138" s="275"/>
      <c r="V138" s="166"/>
      <c r="W138" s="166"/>
      <c r="X138" s="166"/>
      <c r="Y138" s="166"/>
      <c r="Z138" s="166"/>
      <c r="AA138" s="166"/>
      <c r="AB138" s="166"/>
      <c r="AC138" s="166"/>
      <c r="AD138" s="166"/>
      <c r="AE138" s="166"/>
      <c r="AF138" s="166"/>
      <c r="AG138" s="166"/>
      <c r="AH138" s="166"/>
      <c r="AI138" s="266"/>
      <c r="AJ138" s="266"/>
      <c r="AK138" s="266"/>
      <c r="AL138" s="266"/>
      <c r="AM138" s="166"/>
      <c r="AN138" s="166"/>
      <c r="AO138" s="166"/>
      <c r="AP138" s="166"/>
      <c r="AQ138" s="166"/>
      <c r="AR138" s="166"/>
      <c r="AS138" s="166"/>
      <c r="AT138" s="166"/>
      <c r="AU138" s="166"/>
      <c r="AV138" s="166"/>
      <c r="AW138" s="166"/>
      <c r="AX138" s="166"/>
      <c r="AY138" s="166"/>
      <c r="AZ138" s="166"/>
      <c r="BA138" s="166"/>
      <c r="BB138" s="266"/>
      <c r="BC138" s="166"/>
      <c r="BD138" s="166"/>
      <c r="BE138" s="166"/>
      <c r="BF138" s="166"/>
      <c r="BG138" s="166"/>
      <c r="BH138" s="166"/>
      <c r="BI138" s="166"/>
      <c r="BJ138" s="166"/>
      <c r="BK138" s="166"/>
      <c r="BL138" s="166"/>
      <c r="BM138" s="166"/>
      <c r="BN138" s="166"/>
      <c r="BO138" s="166"/>
      <c r="BP138" s="166"/>
      <c r="BQ138" s="166"/>
      <c r="BR138" s="166"/>
      <c r="BS138" s="266"/>
      <c r="BT138" s="266"/>
      <c r="BU138" s="831"/>
      <c r="BV138" s="266"/>
      <c r="BW138" s="266"/>
      <c r="BX138" s="266"/>
      <c r="BY138" s="266"/>
      <c r="BZ138" s="266"/>
      <c r="CA138" s="266"/>
      <c r="CB138" s="266"/>
      <c r="CC138" s="266"/>
      <c r="CD138" s="266"/>
      <c r="CE138" s="266"/>
      <c r="CF138" s="266"/>
      <c r="CG138" s="266"/>
      <c r="CH138" s="266"/>
      <c r="CI138" s="266"/>
      <c r="CJ138" s="266"/>
      <c r="CK138" s="166"/>
      <c r="CL138" s="166"/>
      <c r="CM138" s="166"/>
      <c r="CN138" s="166"/>
      <c r="CO138" s="166"/>
      <c r="CP138" s="166"/>
      <c r="CQ138" s="166"/>
      <c r="CR138" s="166"/>
      <c r="CS138" s="166"/>
      <c r="CT138" s="166"/>
      <c r="CU138" s="166"/>
      <c r="CV138" s="166"/>
      <c r="CW138" s="166"/>
      <c r="CX138" s="166"/>
      <c r="CY138" s="166"/>
      <c r="CZ138" s="166"/>
      <c r="DA138" s="166"/>
      <c r="DB138" s="166"/>
      <c r="DC138" s="266"/>
      <c r="DD138" s="166"/>
      <c r="DE138" s="166"/>
      <c r="DF138" s="166"/>
      <c r="DG138" s="166"/>
      <c r="DH138" s="166"/>
      <c r="DI138" s="166"/>
      <c r="DJ138" s="166"/>
      <c r="DK138" s="166"/>
      <c r="DL138" s="166"/>
      <c r="DM138" s="166"/>
      <c r="DN138" s="166"/>
      <c r="DO138" s="166"/>
    </row>
    <row r="139" spans="1:119" ht="12.75">
      <c r="A139" s="496"/>
      <c r="B139" s="496"/>
      <c r="C139" s="496"/>
      <c r="D139" s="496"/>
      <c r="E139" s="544"/>
      <c r="F139" s="544"/>
      <c r="G139" s="178">
        <v>6</v>
      </c>
      <c r="H139" s="179" t="s">
        <v>139</v>
      </c>
      <c r="I139" s="262"/>
      <c r="J139" s="262"/>
      <c r="K139" s="179"/>
      <c r="L139" s="176"/>
      <c r="M139" s="544"/>
      <c r="N139" s="544"/>
      <c r="O139" s="544"/>
      <c r="P139" s="544"/>
      <c r="Q139" s="544"/>
      <c r="R139" s="544"/>
      <c r="S139" s="544"/>
      <c r="T139" s="544"/>
      <c r="U139" s="275"/>
      <c r="V139" s="166"/>
      <c r="W139" s="166"/>
      <c r="X139" s="166"/>
      <c r="Y139" s="166"/>
      <c r="Z139" s="166"/>
      <c r="AA139" s="166"/>
      <c r="AB139" s="166"/>
      <c r="AC139" s="166"/>
      <c r="AD139" s="166"/>
      <c r="AE139" s="166"/>
      <c r="AF139" s="166"/>
      <c r="AG139" s="166"/>
      <c r="AH139" s="166"/>
      <c r="AI139" s="266"/>
      <c r="AJ139" s="266"/>
      <c r="AK139" s="266"/>
      <c r="AL139" s="266"/>
      <c r="AM139" s="166"/>
      <c r="AN139" s="166"/>
      <c r="AO139" s="166"/>
      <c r="AP139" s="166"/>
      <c r="AQ139" s="166"/>
      <c r="AR139" s="166"/>
      <c r="AS139" s="166"/>
      <c r="AT139" s="166"/>
      <c r="AU139" s="166"/>
      <c r="AV139" s="166"/>
      <c r="AW139" s="166"/>
      <c r="AX139" s="166"/>
      <c r="AY139" s="166"/>
      <c r="AZ139" s="166"/>
      <c r="BA139" s="166"/>
      <c r="BB139" s="266"/>
      <c r="BC139" s="166"/>
      <c r="BD139" s="166"/>
      <c r="BE139" s="166"/>
      <c r="BF139" s="166"/>
      <c r="BG139" s="166"/>
      <c r="BH139" s="166"/>
      <c r="BI139" s="166"/>
      <c r="BJ139" s="166"/>
      <c r="BK139" s="166"/>
      <c r="BL139" s="166"/>
      <c r="BM139" s="166"/>
      <c r="BN139" s="166"/>
      <c r="BO139" s="166"/>
      <c r="BP139" s="166"/>
      <c r="BQ139" s="166"/>
      <c r="BR139" s="166"/>
      <c r="BS139" s="266"/>
      <c r="BT139" s="266"/>
      <c r="BU139" s="831"/>
      <c r="BV139" s="266"/>
      <c r="BW139" s="266"/>
      <c r="BX139" s="266"/>
      <c r="BY139" s="266"/>
      <c r="BZ139" s="266"/>
      <c r="CA139" s="266"/>
      <c r="CB139" s="266"/>
      <c r="CC139" s="266"/>
      <c r="CD139" s="266"/>
      <c r="CE139" s="266"/>
      <c r="CF139" s="266"/>
      <c r="CG139" s="266"/>
      <c r="CH139" s="266"/>
      <c r="CI139" s="266"/>
      <c r="CJ139" s="266"/>
      <c r="CK139" s="166"/>
      <c r="CL139" s="166"/>
      <c r="CM139" s="166"/>
      <c r="CN139" s="166"/>
      <c r="CO139" s="166"/>
      <c r="CP139" s="166"/>
      <c r="CQ139" s="166"/>
      <c r="CR139" s="166"/>
      <c r="CS139" s="166"/>
      <c r="CT139" s="166"/>
      <c r="CU139" s="166"/>
      <c r="CV139" s="166"/>
      <c r="CW139" s="166"/>
      <c r="CX139" s="166"/>
      <c r="CY139" s="166"/>
      <c r="CZ139" s="166"/>
      <c r="DA139" s="166"/>
      <c r="DB139" s="166"/>
      <c r="DC139" s="266"/>
      <c r="DD139" s="166"/>
      <c r="DE139" s="166"/>
      <c r="DF139" s="166"/>
      <c r="DG139" s="166"/>
      <c r="DH139" s="166"/>
      <c r="DI139" s="166"/>
      <c r="DJ139" s="166"/>
      <c r="DK139" s="166"/>
      <c r="DL139" s="166"/>
      <c r="DM139" s="166"/>
      <c r="DN139" s="166"/>
      <c r="DO139" s="166"/>
    </row>
    <row r="140" spans="1:119" ht="12.75">
      <c r="A140" s="496"/>
      <c r="B140" s="496"/>
      <c r="C140" s="496"/>
      <c r="D140" s="496"/>
      <c r="E140" s="544"/>
      <c r="F140" s="544"/>
      <c r="G140" s="178">
        <v>7</v>
      </c>
      <c r="H140" s="179" t="s">
        <v>140</v>
      </c>
      <c r="I140" s="262"/>
      <c r="J140" s="262"/>
      <c r="K140" s="179"/>
      <c r="L140" s="176"/>
      <c r="M140" s="544"/>
      <c r="N140" s="544"/>
      <c r="O140" s="544"/>
      <c r="P140" s="544"/>
      <c r="Q140" s="544"/>
      <c r="R140" s="544"/>
      <c r="S140" s="544"/>
      <c r="T140" s="544"/>
      <c r="U140" s="275"/>
      <c r="V140" s="166"/>
      <c r="W140" s="166"/>
      <c r="X140" s="166"/>
      <c r="Y140" s="166"/>
      <c r="Z140" s="166"/>
      <c r="AA140" s="166"/>
      <c r="AB140" s="166"/>
      <c r="AC140" s="166"/>
      <c r="AD140" s="166"/>
      <c r="AE140" s="166"/>
      <c r="AF140" s="166"/>
      <c r="AG140" s="166"/>
      <c r="AH140" s="166"/>
      <c r="AI140" s="266"/>
      <c r="AJ140" s="266"/>
      <c r="AK140" s="266"/>
      <c r="AL140" s="266"/>
      <c r="AM140" s="166"/>
      <c r="AN140" s="166"/>
      <c r="AO140" s="166"/>
      <c r="AP140" s="166"/>
      <c r="AQ140" s="166"/>
      <c r="AR140" s="166"/>
      <c r="AS140" s="166"/>
      <c r="AT140" s="166"/>
      <c r="AU140" s="166"/>
      <c r="AV140" s="166"/>
      <c r="AW140" s="166"/>
      <c r="AX140" s="166"/>
      <c r="AY140" s="166"/>
      <c r="AZ140" s="166"/>
      <c r="BA140" s="166"/>
      <c r="BB140" s="266"/>
      <c r="BC140" s="166"/>
      <c r="BD140" s="166"/>
      <c r="BE140" s="166"/>
      <c r="BF140" s="166"/>
      <c r="BG140" s="166"/>
      <c r="BH140" s="166"/>
      <c r="BI140" s="166"/>
      <c r="BJ140" s="166"/>
      <c r="BK140" s="166"/>
      <c r="BL140" s="166"/>
      <c r="BM140" s="166"/>
      <c r="BN140" s="166"/>
      <c r="BO140" s="166"/>
      <c r="BP140" s="166"/>
      <c r="BQ140" s="166"/>
      <c r="BR140" s="166"/>
      <c r="BS140" s="266"/>
      <c r="BT140" s="266"/>
      <c r="BU140" s="831"/>
      <c r="BV140" s="266"/>
      <c r="BW140" s="266"/>
      <c r="BX140" s="266"/>
      <c r="BY140" s="266"/>
      <c r="BZ140" s="266"/>
      <c r="CA140" s="266"/>
      <c r="CB140" s="266"/>
      <c r="CC140" s="266"/>
      <c r="CD140" s="266"/>
      <c r="CE140" s="266"/>
      <c r="CF140" s="266"/>
      <c r="CG140" s="266"/>
      <c r="CH140" s="266"/>
      <c r="CI140" s="266"/>
      <c r="CJ140" s="266"/>
      <c r="CK140" s="166"/>
      <c r="CL140" s="166"/>
      <c r="CM140" s="166"/>
      <c r="CN140" s="166"/>
      <c r="CO140" s="166"/>
      <c r="CP140" s="166"/>
      <c r="CQ140" s="166"/>
      <c r="CR140" s="166"/>
      <c r="CS140" s="166"/>
      <c r="CT140" s="166"/>
      <c r="CU140" s="166"/>
      <c r="CV140" s="166"/>
      <c r="CW140" s="166"/>
      <c r="CX140" s="166"/>
      <c r="CY140" s="166"/>
      <c r="CZ140" s="166"/>
      <c r="DA140" s="166"/>
      <c r="DB140" s="166"/>
      <c r="DC140" s="266"/>
      <c r="DD140" s="166"/>
      <c r="DE140" s="166"/>
      <c r="DF140" s="166"/>
      <c r="DG140" s="166"/>
      <c r="DH140" s="166"/>
      <c r="DI140" s="166"/>
      <c r="DJ140" s="166"/>
      <c r="DK140" s="166"/>
      <c r="DL140" s="166"/>
      <c r="DM140" s="166"/>
      <c r="DN140" s="166"/>
      <c r="DO140" s="166"/>
    </row>
    <row r="141" spans="1:119" ht="12.75">
      <c r="A141" s="496"/>
      <c r="B141" s="496"/>
      <c r="C141" s="496"/>
      <c r="D141" s="496"/>
      <c r="E141" s="544"/>
      <c r="F141" s="544"/>
      <c r="G141" s="178">
        <v>8</v>
      </c>
      <c r="H141" s="179" t="s">
        <v>141</v>
      </c>
      <c r="I141" s="262"/>
      <c r="J141" s="262"/>
      <c r="K141" s="179"/>
      <c r="L141" s="176"/>
      <c r="M141" s="544"/>
      <c r="N141" s="544"/>
      <c r="O141" s="544"/>
      <c r="P141" s="544"/>
      <c r="Q141" s="544"/>
      <c r="R141" s="544"/>
      <c r="S141" s="544"/>
      <c r="T141" s="544"/>
      <c r="U141" s="275"/>
      <c r="V141" s="166"/>
      <c r="W141" s="166"/>
      <c r="X141" s="166"/>
      <c r="Y141" s="166"/>
      <c r="Z141" s="166"/>
      <c r="AA141" s="166"/>
      <c r="AB141" s="166"/>
      <c r="AC141" s="166"/>
      <c r="AD141" s="166"/>
      <c r="AE141" s="166"/>
      <c r="AF141" s="166"/>
      <c r="AG141" s="166"/>
      <c r="AH141" s="166"/>
      <c r="AI141" s="266"/>
      <c r="AJ141" s="266"/>
      <c r="AK141" s="266"/>
      <c r="AL141" s="266"/>
      <c r="AM141" s="166"/>
      <c r="AN141" s="166"/>
      <c r="AO141" s="166"/>
      <c r="AP141" s="166"/>
      <c r="AQ141" s="166"/>
      <c r="AR141" s="166"/>
      <c r="AS141" s="166"/>
      <c r="AT141" s="166"/>
      <c r="AU141" s="166"/>
      <c r="AV141" s="166"/>
      <c r="AW141" s="166"/>
      <c r="AX141" s="166"/>
      <c r="AY141" s="166"/>
      <c r="AZ141" s="166"/>
      <c r="BA141" s="166"/>
      <c r="BB141" s="266"/>
      <c r="BC141" s="166"/>
      <c r="BD141" s="166"/>
      <c r="BE141" s="166"/>
      <c r="BF141" s="166"/>
      <c r="BG141" s="166"/>
      <c r="BH141" s="166"/>
      <c r="BI141" s="166"/>
      <c r="BJ141" s="166"/>
      <c r="BK141" s="166"/>
      <c r="BL141" s="166"/>
      <c r="BM141" s="166"/>
      <c r="BN141" s="166"/>
      <c r="BO141" s="166"/>
      <c r="BP141" s="166"/>
      <c r="BQ141" s="166"/>
      <c r="BR141" s="166"/>
      <c r="BS141" s="266"/>
      <c r="BT141" s="266"/>
      <c r="BU141" s="831"/>
      <c r="BV141" s="266"/>
      <c r="BW141" s="266"/>
      <c r="BX141" s="266"/>
      <c r="BY141" s="266"/>
      <c r="BZ141" s="266"/>
      <c r="CA141" s="266"/>
      <c r="CB141" s="266"/>
      <c r="CC141" s="266"/>
      <c r="CD141" s="266"/>
      <c r="CE141" s="266"/>
      <c r="CF141" s="266"/>
      <c r="CG141" s="266"/>
      <c r="CH141" s="266"/>
      <c r="CI141" s="266"/>
      <c r="CJ141" s="266"/>
      <c r="CK141" s="166"/>
      <c r="CL141" s="166"/>
      <c r="CM141" s="166"/>
      <c r="CN141" s="166"/>
      <c r="CO141" s="166"/>
      <c r="CP141" s="166"/>
      <c r="CQ141" s="166"/>
      <c r="CR141" s="166"/>
      <c r="CS141" s="166"/>
      <c r="CT141" s="166"/>
      <c r="CU141" s="166"/>
      <c r="CV141" s="166"/>
      <c r="CW141" s="166"/>
      <c r="CX141" s="166"/>
      <c r="CY141" s="166"/>
      <c r="CZ141" s="166"/>
      <c r="DA141" s="166"/>
      <c r="DB141" s="166"/>
      <c r="DC141" s="266"/>
      <c r="DD141" s="166"/>
      <c r="DE141" s="166"/>
      <c r="DF141" s="166"/>
      <c r="DG141" s="166"/>
      <c r="DH141" s="166"/>
      <c r="DI141" s="166"/>
      <c r="DJ141" s="166"/>
      <c r="DK141" s="166"/>
      <c r="DL141" s="166"/>
      <c r="DM141" s="166"/>
      <c r="DN141" s="166"/>
      <c r="DO141" s="166"/>
    </row>
    <row r="142" spans="1:119" ht="12.75">
      <c r="A142" s="496"/>
      <c r="B142" s="496"/>
      <c r="C142" s="496"/>
      <c r="D142" s="496"/>
      <c r="E142" s="544"/>
      <c r="F142" s="544"/>
      <c r="G142" s="178">
        <v>9</v>
      </c>
      <c r="H142" s="179" t="s">
        <v>142</v>
      </c>
      <c r="I142" s="262"/>
      <c r="J142" s="262"/>
      <c r="K142" s="179"/>
      <c r="L142" s="176"/>
      <c r="M142" s="544"/>
      <c r="N142" s="544"/>
      <c r="O142" s="544"/>
      <c r="P142" s="544"/>
      <c r="Q142" s="544"/>
      <c r="R142" s="544"/>
      <c r="S142" s="544"/>
      <c r="T142" s="544"/>
      <c r="U142" s="275"/>
      <c r="V142" s="166"/>
      <c r="W142" s="166"/>
      <c r="X142" s="166"/>
      <c r="Y142" s="166"/>
      <c r="Z142" s="166"/>
      <c r="AA142" s="166"/>
      <c r="AB142" s="166"/>
      <c r="AC142" s="166"/>
      <c r="AD142" s="166"/>
      <c r="AE142" s="166"/>
      <c r="AF142" s="166"/>
      <c r="AG142" s="166"/>
      <c r="AH142" s="166"/>
      <c r="AI142" s="266"/>
      <c r="AJ142" s="266"/>
      <c r="AK142" s="266"/>
      <c r="AL142" s="266"/>
      <c r="AM142" s="166"/>
      <c r="AN142" s="166"/>
      <c r="AO142" s="166"/>
      <c r="AP142" s="166"/>
      <c r="AQ142" s="166"/>
      <c r="AR142" s="166"/>
      <c r="AS142" s="166"/>
      <c r="AT142" s="166"/>
      <c r="AU142" s="166"/>
      <c r="AV142" s="166"/>
      <c r="AW142" s="166"/>
      <c r="AX142" s="166"/>
      <c r="AY142" s="166"/>
      <c r="AZ142" s="166"/>
      <c r="BA142" s="166"/>
      <c r="BB142" s="266"/>
      <c r="BC142" s="166"/>
      <c r="BD142" s="166"/>
      <c r="BE142" s="166"/>
      <c r="BF142" s="166"/>
      <c r="BG142" s="166"/>
      <c r="BH142" s="166"/>
      <c r="BI142" s="166"/>
      <c r="BJ142" s="166"/>
      <c r="BK142" s="166"/>
      <c r="BL142" s="166"/>
      <c r="BM142" s="166"/>
      <c r="BN142" s="166"/>
      <c r="BO142" s="166"/>
      <c r="BP142" s="166"/>
      <c r="BQ142" s="166"/>
      <c r="BR142" s="166"/>
      <c r="BS142" s="266"/>
      <c r="BT142" s="266"/>
      <c r="BU142" s="831"/>
      <c r="BV142" s="266"/>
      <c r="BW142" s="266"/>
      <c r="BX142" s="266"/>
      <c r="BY142" s="266"/>
      <c r="BZ142" s="266"/>
      <c r="CA142" s="266"/>
      <c r="CB142" s="266"/>
      <c r="CC142" s="266"/>
      <c r="CD142" s="266"/>
      <c r="CE142" s="266"/>
      <c r="CF142" s="266"/>
      <c r="CG142" s="266"/>
      <c r="CH142" s="266"/>
      <c r="CI142" s="266"/>
      <c r="CJ142" s="266"/>
      <c r="CK142" s="166"/>
      <c r="CL142" s="166"/>
      <c r="CM142" s="166"/>
      <c r="CN142" s="166"/>
      <c r="CO142" s="166"/>
      <c r="CP142" s="166"/>
      <c r="CQ142" s="166"/>
      <c r="CR142" s="166"/>
      <c r="CS142" s="166"/>
      <c r="CT142" s="166"/>
      <c r="CU142" s="166"/>
      <c r="CV142" s="166"/>
      <c r="CW142" s="166"/>
      <c r="CX142" s="166"/>
      <c r="CY142" s="166"/>
      <c r="CZ142" s="166"/>
      <c r="DA142" s="166"/>
      <c r="DB142" s="166"/>
      <c r="DC142" s="266"/>
      <c r="DD142" s="166"/>
      <c r="DE142" s="166"/>
      <c r="DF142" s="166"/>
      <c r="DG142" s="166"/>
      <c r="DH142" s="166"/>
      <c r="DI142" s="166"/>
      <c r="DJ142" s="166"/>
      <c r="DK142" s="166"/>
      <c r="DL142" s="166"/>
      <c r="DM142" s="166"/>
      <c r="DN142" s="166"/>
      <c r="DO142" s="166"/>
    </row>
    <row r="143" spans="1:119" ht="12.75">
      <c r="A143" s="496"/>
      <c r="B143" s="496"/>
      <c r="C143" s="496"/>
      <c r="D143" s="496"/>
      <c r="E143" s="544"/>
      <c r="F143" s="544"/>
      <c r="G143" s="178">
        <v>10</v>
      </c>
      <c r="H143" s="179" t="s">
        <v>143</v>
      </c>
      <c r="I143" s="262"/>
      <c r="J143" s="262"/>
      <c r="K143" s="179"/>
      <c r="L143" s="176"/>
      <c r="M143" s="544"/>
      <c r="N143" s="544"/>
      <c r="O143" s="544"/>
      <c r="P143" s="544"/>
      <c r="Q143" s="544"/>
      <c r="R143" s="544"/>
      <c r="S143" s="544"/>
      <c r="T143" s="544"/>
      <c r="U143" s="275"/>
      <c r="V143" s="166"/>
      <c r="W143" s="166"/>
      <c r="X143" s="166"/>
      <c r="Y143" s="166"/>
      <c r="Z143" s="166"/>
      <c r="AA143" s="166"/>
      <c r="AB143" s="166"/>
      <c r="AC143" s="166"/>
      <c r="AD143" s="166"/>
      <c r="AE143" s="166"/>
      <c r="AF143" s="166"/>
      <c r="AG143" s="166"/>
      <c r="AH143" s="166"/>
      <c r="AI143" s="266"/>
      <c r="AJ143" s="266"/>
      <c r="AK143" s="266"/>
      <c r="AL143" s="266"/>
      <c r="AM143" s="166"/>
      <c r="AN143" s="166"/>
      <c r="AO143" s="166"/>
      <c r="AP143" s="166"/>
      <c r="AQ143" s="166"/>
      <c r="AR143" s="166"/>
      <c r="AS143" s="166"/>
      <c r="AT143" s="166"/>
      <c r="AU143" s="166"/>
      <c r="AV143" s="166"/>
      <c r="AW143" s="166"/>
      <c r="AX143" s="166"/>
      <c r="AY143" s="166"/>
      <c r="AZ143" s="166"/>
      <c r="BA143" s="166"/>
      <c r="BB143" s="266"/>
      <c r="BC143" s="166"/>
      <c r="BD143" s="166"/>
      <c r="BE143" s="166"/>
      <c r="BF143" s="166"/>
      <c r="BG143" s="166"/>
      <c r="BH143" s="166"/>
      <c r="BI143" s="166"/>
      <c r="BJ143" s="166"/>
      <c r="BK143" s="166"/>
      <c r="BL143" s="166"/>
      <c r="BM143" s="166"/>
      <c r="BN143" s="166"/>
      <c r="BO143" s="166"/>
      <c r="BP143" s="166"/>
      <c r="BQ143" s="166"/>
      <c r="BR143" s="166"/>
      <c r="BS143" s="266"/>
      <c r="BT143" s="266"/>
      <c r="BU143" s="831"/>
      <c r="BV143" s="266"/>
      <c r="BW143" s="266"/>
      <c r="BX143" s="266"/>
      <c r="BY143" s="266"/>
      <c r="BZ143" s="266"/>
      <c r="CA143" s="266"/>
      <c r="CB143" s="266"/>
      <c r="CC143" s="266"/>
      <c r="CD143" s="266"/>
      <c r="CE143" s="266"/>
      <c r="CF143" s="266"/>
      <c r="CG143" s="266"/>
      <c r="CH143" s="266"/>
      <c r="CI143" s="266"/>
      <c r="CJ143" s="266"/>
      <c r="CK143" s="166"/>
      <c r="CL143" s="166"/>
      <c r="CM143" s="166"/>
      <c r="CN143" s="166"/>
      <c r="CO143" s="166"/>
      <c r="CP143" s="166"/>
      <c r="CQ143" s="166"/>
      <c r="CR143" s="166"/>
      <c r="CS143" s="166"/>
      <c r="CT143" s="166"/>
      <c r="CU143" s="166"/>
      <c r="CV143" s="166"/>
      <c r="CW143" s="166"/>
      <c r="CX143" s="166"/>
      <c r="CY143" s="166"/>
      <c r="CZ143" s="166"/>
      <c r="DA143" s="166"/>
      <c r="DB143" s="166"/>
      <c r="DC143" s="266"/>
      <c r="DD143" s="166"/>
      <c r="DE143" s="166"/>
      <c r="DF143" s="166"/>
      <c r="DG143" s="166"/>
      <c r="DH143" s="166"/>
      <c r="DI143" s="166"/>
      <c r="DJ143" s="166"/>
      <c r="DK143" s="166"/>
      <c r="DL143" s="166"/>
      <c r="DM143" s="166"/>
      <c r="DN143" s="166"/>
      <c r="DO143" s="166"/>
    </row>
    <row r="144" spans="1:119" ht="12.75">
      <c r="A144" s="496"/>
      <c r="B144" s="496"/>
      <c r="C144" s="496"/>
      <c r="D144" s="496"/>
      <c r="E144" s="544"/>
      <c r="F144" s="544"/>
      <c r="G144" s="178">
        <v>11</v>
      </c>
      <c r="H144" s="179" t="s">
        <v>144</v>
      </c>
      <c r="I144" s="262"/>
      <c r="J144" s="262"/>
      <c r="K144" s="179"/>
      <c r="L144" s="176"/>
      <c r="M144" s="544"/>
      <c r="N144" s="544"/>
      <c r="O144" s="544"/>
      <c r="P144" s="544"/>
      <c r="Q144" s="544"/>
      <c r="R144" s="544"/>
      <c r="S144" s="544"/>
      <c r="T144" s="544"/>
      <c r="U144" s="275"/>
      <c r="V144" s="166"/>
      <c r="W144" s="166"/>
      <c r="X144" s="166"/>
      <c r="Y144" s="166"/>
      <c r="Z144" s="166"/>
      <c r="AA144" s="166"/>
      <c r="AB144" s="166"/>
      <c r="AC144" s="166"/>
      <c r="AD144" s="166"/>
      <c r="AE144" s="166"/>
      <c r="AF144" s="166"/>
      <c r="AG144" s="166"/>
      <c r="AH144" s="166"/>
      <c r="AI144" s="266"/>
      <c r="AJ144" s="266"/>
      <c r="AK144" s="266"/>
      <c r="AL144" s="266"/>
      <c r="AM144" s="166"/>
      <c r="AN144" s="166"/>
      <c r="AO144" s="166"/>
      <c r="AP144" s="166"/>
      <c r="AQ144" s="166"/>
      <c r="AR144" s="166"/>
      <c r="AS144" s="166"/>
      <c r="AT144" s="166"/>
      <c r="AU144" s="166"/>
      <c r="AV144" s="166"/>
      <c r="AW144" s="166"/>
      <c r="AX144" s="166"/>
      <c r="AY144" s="166"/>
      <c r="AZ144" s="166"/>
      <c r="BA144" s="166"/>
      <c r="BB144" s="266"/>
      <c r="BC144" s="166"/>
      <c r="BD144" s="166"/>
      <c r="BE144" s="166"/>
      <c r="BF144" s="166"/>
      <c r="BG144" s="166"/>
      <c r="BH144" s="166"/>
      <c r="BI144" s="166"/>
      <c r="BJ144" s="166"/>
      <c r="BK144" s="166"/>
      <c r="BL144" s="166"/>
      <c r="BM144" s="166"/>
      <c r="BN144" s="166"/>
      <c r="BO144" s="166"/>
      <c r="BP144" s="166"/>
      <c r="BQ144" s="166"/>
      <c r="BR144" s="166"/>
      <c r="BS144" s="266"/>
      <c r="BT144" s="266"/>
      <c r="BU144" s="831"/>
      <c r="BV144" s="266"/>
      <c r="BW144" s="266"/>
      <c r="BX144" s="266"/>
      <c r="BY144" s="266"/>
      <c r="BZ144" s="266"/>
      <c r="CA144" s="266"/>
      <c r="CB144" s="266"/>
      <c r="CC144" s="266"/>
      <c r="CD144" s="266"/>
      <c r="CE144" s="266"/>
      <c r="CF144" s="266"/>
      <c r="CG144" s="266"/>
      <c r="CH144" s="266"/>
      <c r="CI144" s="266"/>
      <c r="CJ144" s="266"/>
      <c r="CK144" s="166"/>
      <c r="CL144" s="166"/>
      <c r="CM144" s="166"/>
      <c r="CN144" s="166"/>
      <c r="CO144" s="166"/>
      <c r="CP144" s="166"/>
      <c r="CQ144" s="166"/>
      <c r="CR144" s="166"/>
      <c r="CS144" s="166"/>
      <c r="CT144" s="166"/>
      <c r="CU144" s="166"/>
      <c r="CV144" s="166"/>
      <c r="CW144" s="166"/>
      <c r="CX144" s="166"/>
      <c r="CY144" s="166"/>
      <c r="CZ144" s="166"/>
      <c r="DA144" s="166"/>
      <c r="DB144" s="166"/>
      <c r="DC144" s="266"/>
      <c r="DD144" s="166"/>
      <c r="DE144" s="166"/>
      <c r="DF144" s="166"/>
      <c r="DG144" s="166"/>
      <c r="DH144" s="166"/>
      <c r="DI144" s="166"/>
      <c r="DJ144" s="166"/>
      <c r="DK144" s="166"/>
      <c r="DL144" s="166"/>
      <c r="DM144" s="166"/>
      <c r="DN144" s="166"/>
      <c r="DO144" s="166"/>
    </row>
    <row r="145" spans="1:119" ht="12.75">
      <c r="A145" s="496"/>
      <c r="B145" s="496"/>
      <c r="C145" s="496"/>
      <c r="D145" s="496"/>
      <c r="E145" s="544"/>
      <c r="F145" s="544"/>
      <c r="G145" s="180">
        <v>12</v>
      </c>
      <c r="H145" s="181" t="s">
        <v>145</v>
      </c>
      <c r="I145" s="263"/>
      <c r="J145" s="263"/>
      <c r="K145" s="181"/>
      <c r="L145" s="177"/>
      <c r="M145" s="544"/>
      <c r="N145" s="544"/>
      <c r="O145" s="544"/>
      <c r="P145" s="544"/>
      <c r="Q145" s="544"/>
      <c r="R145" s="544"/>
      <c r="S145" s="544"/>
      <c r="T145" s="544"/>
      <c r="U145" s="275"/>
      <c r="V145" s="166"/>
      <c r="W145" s="166"/>
      <c r="X145" s="166"/>
      <c r="Y145" s="166"/>
      <c r="Z145" s="166"/>
      <c r="AA145" s="166"/>
      <c r="AB145" s="166"/>
      <c r="AC145" s="166"/>
      <c r="AD145" s="166"/>
      <c r="AE145" s="166"/>
      <c r="AF145" s="166"/>
      <c r="AG145" s="166"/>
      <c r="AH145" s="166"/>
      <c r="AI145" s="266"/>
      <c r="AJ145" s="266"/>
      <c r="AK145" s="266"/>
      <c r="AL145" s="266"/>
      <c r="AM145" s="166"/>
      <c r="AN145" s="166"/>
      <c r="AO145" s="166"/>
      <c r="AP145" s="166"/>
      <c r="AQ145" s="166"/>
      <c r="AR145" s="166"/>
      <c r="AS145" s="166"/>
      <c r="AT145" s="166"/>
      <c r="AU145" s="166"/>
      <c r="AV145" s="166"/>
      <c r="AW145" s="166"/>
      <c r="AX145" s="166"/>
      <c r="AY145" s="166"/>
      <c r="AZ145" s="166"/>
      <c r="BA145" s="166"/>
      <c r="BB145" s="266"/>
      <c r="BC145" s="166"/>
      <c r="BD145" s="166"/>
      <c r="BE145" s="166"/>
      <c r="BF145" s="166"/>
      <c r="BG145" s="166"/>
      <c r="BH145" s="166"/>
      <c r="BI145" s="166"/>
      <c r="BJ145" s="166"/>
      <c r="BK145" s="166"/>
      <c r="BL145" s="166"/>
      <c r="BM145" s="166"/>
      <c r="BN145" s="166"/>
      <c r="BO145" s="166"/>
      <c r="BP145" s="166"/>
      <c r="BQ145" s="166"/>
      <c r="BR145" s="166"/>
      <c r="BS145" s="266"/>
      <c r="BT145" s="266"/>
      <c r="BU145" s="831"/>
      <c r="BV145" s="266"/>
      <c r="BW145" s="266"/>
      <c r="BX145" s="266"/>
      <c r="BY145" s="266"/>
      <c r="BZ145" s="266"/>
      <c r="CA145" s="266"/>
      <c r="CB145" s="266"/>
      <c r="CC145" s="266"/>
      <c r="CD145" s="266"/>
      <c r="CE145" s="266"/>
      <c r="CF145" s="266"/>
      <c r="CG145" s="266"/>
      <c r="CH145" s="266"/>
      <c r="CI145" s="266"/>
      <c r="CJ145" s="266"/>
      <c r="CK145" s="166"/>
      <c r="CL145" s="166"/>
      <c r="CM145" s="166"/>
      <c r="CN145" s="166"/>
      <c r="CO145" s="166"/>
      <c r="CP145" s="166"/>
      <c r="CQ145" s="166"/>
      <c r="CR145" s="166"/>
      <c r="CS145" s="166"/>
      <c r="CT145" s="166"/>
      <c r="CU145" s="166"/>
      <c r="CV145" s="166"/>
      <c r="CW145" s="166"/>
      <c r="CX145" s="166"/>
      <c r="CY145" s="166"/>
      <c r="CZ145" s="166"/>
      <c r="DA145" s="166"/>
      <c r="DB145" s="166"/>
      <c r="DC145" s="266"/>
      <c r="DD145" s="166"/>
      <c r="DE145" s="166"/>
      <c r="DF145" s="166"/>
      <c r="DG145" s="166"/>
      <c r="DH145" s="166"/>
      <c r="DI145" s="166"/>
      <c r="DJ145" s="166"/>
      <c r="DK145" s="166"/>
      <c r="DL145" s="166"/>
      <c r="DM145" s="166"/>
      <c r="DN145" s="166"/>
      <c r="DO145" s="166"/>
    </row>
    <row r="146" spans="1:119" ht="12.75">
      <c r="A146" s="496"/>
      <c r="B146" s="496"/>
      <c r="C146" s="496"/>
      <c r="D146" s="496"/>
      <c r="E146" s="544"/>
      <c r="F146" s="544"/>
      <c r="G146" s="544"/>
      <c r="H146" s="544"/>
      <c r="I146" s="544"/>
      <c r="J146" s="544"/>
      <c r="K146" s="544"/>
      <c r="L146" s="544"/>
      <c r="M146" s="544"/>
      <c r="N146" s="544"/>
      <c r="O146" s="544"/>
      <c r="P146" s="544"/>
      <c r="Q146" s="544"/>
      <c r="R146" s="544"/>
      <c r="S146" s="544"/>
      <c r="T146" s="544"/>
      <c r="U146" s="275"/>
      <c r="V146" s="166"/>
      <c r="W146" s="166"/>
      <c r="X146" s="166"/>
      <c r="Y146" s="166"/>
      <c r="Z146" s="166"/>
      <c r="AA146" s="166"/>
      <c r="AB146" s="166"/>
      <c r="AC146" s="166"/>
      <c r="AD146" s="166"/>
      <c r="AE146" s="166"/>
      <c r="AF146" s="166"/>
      <c r="AG146" s="166"/>
      <c r="AH146" s="166"/>
      <c r="AI146" s="266"/>
      <c r="AJ146" s="266"/>
      <c r="AK146" s="266"/>
      <c r="AL146" s="266"/>
      <c r="AM146" s="166"/>
      <c r="AN146" s="166"/>
      <c r="AO146" s="166"/>
      <c r="AP146" s="166"/>
      <c r="AQ146" s="166"/>
      <c r="AR146" s="166"/>
      <c r="AS146" s="166"/>
      <c r="AT146" s="166"/>
      <c r="AU146" s="166"/>
      <c r="AV146" s="166"/>
      <c r="AW146" s="166"/>
      <c r="AX146" s="166"/>
      <c r="AY146" s="166"/>
      <c r="AZ146" s="166"/>
      <c r="BA146" s="166"/>
      <c r="BB146" s="266"/>
      <c r="BC146" s="166"/>
      <c r="BD146" s="166"/>
      <c r="BE146" s="166"/>
      <c r="BF146" s="166"/>
      <c r="BG146" s="166"/>
      <c r="BH146" s="166"/>
      <c r="BI146" s="166"/>
      <c r="BJ146" s="166"/>
      <c r="BK146" s="166"/>
      <c r="BL146" s="166"/>
      <c r="BM146" s="166"/>
      <c r="BN146" s="166"/>
      <c r="BO146" s="166"/>
      <c r="BP146" s="166"/>
      <c r="BQ146" s="166"/>
      <c r="BR146" s="166"/>
      <c r="BS146" s="266"/>
      <c r="BT146" s="266"/>
      <c r="BU146" s="831"/>
      <c r="BV146" s="266"/>
      <c r="BW146" s="266"/>
      <c r="BX146" s="266"/>
      <c r="BY146" s="266"/>
      <c r="BZ146" s="266"/>
      <c r="CA146" s="266"/>
      <c r="CB146" s="266"/>
      <c r="CC146" s="266"/>
      <c r="CD146" s="266"/>
      <c r="CE146" s="266"/>
      <c r="CF146" s="266"/>
      <c r="CG146" s="266"/>
      <c r="CH146" s="266"/>
      <c r="CI146" s="266"/>
      <c r="CJ146" s="266"/>
      <c r="CK146" s="166"/>
      <c r="CL146" s="166"/>
      <c r="CM146" s="166"/>
      <c r="CN146" s="166"/>
      <c r="CO146" s="166"/>
      <c r="CP146" s="166"/>
      <c r="CQ146" s="166"/>
      <c r="CR146" s="166"/>
      <c r="CS146" s="166"/>
      <c r="CT146" s="166"/>
      <c r="CU146" s="166"/>
      <c r="CV146" s="166"/>
      <c r="CW146" s="166"/>
      <c r="CX146" s="166"/>
      <c r="CY146" s="166"/>
      <c r="CZ146" s="166"/>
      <c r="DA146" s="166"/>
      <c r="DB146" s="166"/>
      <c r="DC146" s="266"/>
      <c r="DD146" s="166"/>
      <c r="DE146" s="166"/>
      <c r="DF146" s="166"/>
      <c r="DG146" s="166"/>
      <c r="DH146" s="166"/>
      <c r="DI146" s="166"/>
      <c r="DJ146" s="166"/>
      <c r="DK146" s="166"/>
      <c r="DL146" s="166"/>
      <c r="DM146" s="166"/>
      <c r="DN146" s="166"/>
      <c r="DO146" s="166"/>
    </row>
    <row r="147" spans="1:119" ht="12.75">
      <c r="A147" s="496"/>
      <c r="B147" s="496"/>
      <c r="C147" s="496"/>
      <c r="D147" s="496"/>
      <c r="E147" s="544"/>
      <c r="F147" s="544"/>
      <c r="G147" s="544"/>
      <c r="H147" s="544"/>
      <c r="I147" s="544"/>
      <c r="J147" s="544"/>
      <c r="K147" s="544"/>
      <c r="L147" s="544"/>
      <c r="M147" s="544"/>
      <c r="N147" s="544"/>
      <c r="O147" s="544"/>
      <c r="P147" s="544"/>
      <c r="Q147" s="544"/>
      <c r="R147" s="544"/>
      <c r="S147" s="544"/>
      <c r="T147" s="544"/>
      <c r="U147" s="275"/>
      <c r="V147" s="166"/>
      <c r="W147" s="166"/>
      <c r="X147" s="166"/>
      <c r="Y147" s="166"/>
      <c r="Z147" s="166"/>
      <c r="AA147" s="166"/>
      <c r="AB147" s="166"/>
      <c r="AC147" s="166"/>
      <c r="AD147" s="166"/>
      <c r="AE147" s="166"/>
      <c r="AF147" s="166"/>
      <c r="AG147" s="166"/>
      <c r="AH147" s="166"/>
      <c r="AI147" s="266"/>
      <c r="AJ147" s="266"/>
      <c r="AK147" s="266"/>
      <c r="AL147" s="266"/>
      <c r="AM147" s="166"/>
      <c r="AN147" s="166"/>
      <c r="AO147" s="166"/>
      <c r="AP147" s="166"/>
      <c r="AQ147" s="166"/>
      <c r="AR147" s="166"/>
      <c r="AS147" s="166"/>
      <c r="AT147" s="166"/>
      <c r="AU147" s="166"/>
      <c r="AV147" s="166"/>
      <c r="AW147" s="166"/>
      <c r="AX147" s="166"/>
      <c r="AY147" s="166"/>
      <c r="AZ147" s="166"/>
      <c r="BA147" s="166"/>
      <c r="BB147" s="266"/>
      <c r="BC147" s="166"/>
      <c r="BD147" s="166"/>
      <c r="BE147" s="166"/>
      <c r="BF147" s="166"/>
      <c r="BG147" s="166"/>
      <c r="BH147" s="166"/>
      <c r="BI147" s="166"/>
      <c r="BJ147" s="166"/>
      <c r="BK147" s="166"/>
      <c r="BL147" s="166"/>
      <c r="BM147" s="166"/>
      <c r="BN147" s="166"/>
      <c r="BO147" s="166"/>
      <c r="BP147" s="166"/>
      <c r="BQ147" s="166"/>
      <c r="BR147" s="166"/>
      <c r="BS147" s="266"/>
      <c r="BT147" s="266"/>
      <c r="BU147" s="831"/>
      <c r="BV147" s="266"/>
      <c r="BW147" s="266"/>
      <c r="BX147" s="266"/>
      <c r="BY147" s="266"/>
      <c r="BZ147" s="266"/>
      <c r="CA147" s="266"/>
      <c r="CB147" s="266"/>
      <c r="CC147" s="266"/>
      <c r="CD147" s="266"/>
      <c r="CE147" s="266"/>
      <c r="CF147" s="266"/>
      <c r="CG147" s="266"/>
      <c r="CH147" s="266"/>
      <c r="CI147" s="266"/>
      <c r="CJ147" s="266"/>
      <c r="CK147" s="166"/>
      <c r="CL147" s="166"/>
      <c r="CM147" s="166"/>
      <c r="CN147" s="166"/>
      <c r="CO147" s="166"/>
      <c r="CP147" s="166"/>
      <c r="CQ147" s="166"/>
      <c r="CR147" s="166"/>
      <c r="CS147" s="166"/>
      <c r="CT147" s="166"/>
      <c r="CU147" s="166"/>
      <c r="CV147" s="166"/>
      <c r="CW147" s="166"/>
      <c r="CX147" s="166"/>
      <c r="CY147" s="166"/>
      <c r="CZ147" s="166"/>
      <c r="DA147" s="166"/>
      <c r="DB147" s="166"/>
      <c r="DC147" s="266"/>
      <c r="DD147" s="166"/>
      <c r="DE147" s="166"/>
      <c r="DF147" s="166"/>
      <c r="DG147" s="166"/>
      <c r="DH147" s="166"/>
      <c r="DI147" s="166"/>
      <c r="DJ147" s="166"/>
      <c r="DK147" s="166"/>
      <c r="DL147" s="166"/>
      <c r="DM147" s="166"/>
      <c r="DN147" s="166"/>
      <c r="DO147" s="166"/>
    </row>
    <row r="148" spans="1:119" ht="12.75">
      <c r="A148" s="496"/>
      <c r="B148" s="496"/>
      <c r="C148" s="496"/>
      <c r="D148" s="496"/>
      <c r="E148" s="544"/>
      <c r="F148" s="544"/>
      <c r="G148" s="544"/>
      <c r="H148" s="544"/>
      <c r="I148" s="544"/>
      <c r="J148" s="544"/>
      <c r="K148" s="544"/>
      <c r="L148" s="544"/>
      <c r="M148" s="544"/>
      <c r="N148" s="544"/>
      <c r="O148" s="544"/>
      <c r="P148" s="544"/>
      <c r="Q148" s="544"/>
      <c r="R148" s="544"/>
      <c r="S148" s="544"/>
      <c r="T148" s="544"/>
      <c r="U148" s="275"/>
      <c r="V148" s="166"/>
      <c r="W148" s="166"/>
      <c r="X148" s="166"/>
      <c r="Y148" s="166"/>
      <c r="Z148" s="166"/>
      <c r="AA148" s="166"/>
      <c r="AB148" s="166"/>
      <c r="AC148" s="166"/>
      <c r="AD148" s="166"/>
      <c r="AE148" s="166"/>
      <c r="AF148" s="166"/>
      <c r="AG148" s="166"/>
      <c r="AH148" s="166"/>
      <c r="AI148" s="266"/>
      <c r="AJ148" s="266"/>
      <c r="AK148" s="266"/>
      <c r="AL148" s="266"/>
      <c r="AM148" s="166"/>
      <c r="AN148" s="166"/>
      <c r="AO148" s="166"/>
      <c r="AP148" s="166"/>
      <c r="AQ148" s="166"/>
      <c r="AR148" s="166"/>
      <c r="AS148" s="166"/>
      <c r="AT148" s="166"/>
      <c r="AU148" s="166"/>
      <c r="AV148" s="166"/>
      <c r="AW148" s="166"/>
      <c r="AX148" s="166"/>
      <c r="AY148" s="166"/>
      <c r="AZ148" s="166"/>
      <c r="BA148" s="166"/>
      <c r="BB148" s="266"/>
      <c r="BC148" s="166"/>
      <c r="BD148" s="166"/>
      <c r="BE148" s="166"/>
      <c r="BF148" s="166"/>
      <c r="BG148" s="166"/>
      <c r="BH148" s="166"/>
      <c r="BI148" s="166"/>
      <c r="BJ148" s="166"/>
      <c r="BK148" s="166"/>
      <c r="BL148" s="166"/>
      <c r="BM148" s="166"/>
      <c r="BN148" s="166"/>
      <c r="BO148" s="166"/>
      <c r="BP148" s="166"/>
      <c r="BQ148" s="166"/>
      <c r="BR148" s="166"/>
      <c r="BS148" s="266"/>
      <c r="BT148" s="266"/>
      <c r="BU148" s="831"/>
      <c r="BV148" s="266"/>
      <c r="BW148" s="266"/>
      <c r="BX148" s="266"/>
      <c r="BY148" s="266"/>
      <c r="BZ148" s="266"/>
      <c r="CA148" s="266"/>
      <c r="CB148" s="266"/>
      <c r="CC148" s="266"/>
      <c r="CD148" s="266"/>
      <c r="CE148" s="266"/>
      <c r="CF148" s="266"/>
      <c r="CG148" s="266"/>
      <c r="CH148" s="266"/>
      <c r="CI148" s="266"/>
      <c r="CJ148" s="266"/>
      <c r="CK148" s="166"/>
      <c r="CL148" s="166"/>
      <c r="CM148" s="166"/>
      <c r="CN148" s="166"/>
      <c r="CO148" s="166"/>
      <c r="CP148" s="166"/>
      <c r="CQ148" s="166"/>
      <c r="CR148" s="166"/>
      <c r="CS148" s="166"/>
      <c r="CT148" s="166"/>
      <c r="CU148" s="166"/>
      <c r="CV148" s="166"/>
      <c r="CW148" s="166"/>
      <c r="CX148" s="166"/>
      <c r="CY148" s="166"/>
      <c r="CZ148" s="166"/>
      <c r="DA148" s="166"/>
      <c r="DB148" s="166"/>
      <c r="DC148" s="266"/>
      <c r="DD148" s="166"/>
      <c r="DE148" s="166"/>
      <c r="DF148" s="166"/>
      <c r="DG148" s="166"/>
      <c r="DH148" s="166"/>
      <c r="DI148" s="166"/>
      <c r="DJ148" s="166"/>
      <c r="DK148" s="166"/>
      <c r="DL148" s="166"/>
      <c r="DM148" s="166"/>
      <c r="DN148" s="166"/>
      <c r="DO148" s="166"/>
    </row>
    <row r="149" spans="1:119" ht="12.75">
      <c r="A149" s="496"/>
      <c r="B149" s="496"/>
      <c r="C149" s="496"/>
      <c r="D149" s="496"/>
      <c r="E149" s="544"/>
      <c r="F149" s="544"/>
      <c r="G149" s="544"/>
      <c r="H149" s="544"/>
      <c r="I149" s="544"/>
      <c r="J149" s="544"/>
      <c r="K149" s="544"/>
      <c r="L149" s="544"/>
      <c r="M149" s="544"/>
      <c r="N149" s="544"/>
      <c r="O149" s="544"/>
      <c r="P149" s="544"/>
      <c r="Q149" s="544"/>
      <c r="R149" s="544"/>
      <c r="S149" s="544"/>
      <c r="T149" s="544"/>
      <c r="U149" s="275"/>
      <c r="V149" s="166"/>
      <c r="W149" s="166"/>
      <c r="X149" s="166"/>
      <c r="Y149" s="166"/>
      <c r="Z149" s="166"/>
      <c r="AA149" s="166"/>
      <c r="AB149" s="166"/>
      <c r="AC149" s="166"/>
      <c r="AD149" s="166"/>
      <c r="AE149" s="166"/>
      <c r="AF149" s="166"/>
      <c r="AG149" s="166"/>
      <c r="AH149" s="166"/>
      <c r="AI149" s="266"/>
      <c r="AJ149" s="266"/>
      <c r="AK149" s="266"/>
      <c r="AL149" s="266"/>
      <c r="AM149" s="166"/>
      <c r="AN149" s="166"/>
      <c r="AO149" s="166"/>
      <c r="AP149" s="166"/>
      <c r="AQ149" s="166"/>
      <c r="AR149" s="166"/>
      <c r="AS149" s="166"/>
      <c r="AT149" s="166"/>
      <c r="AU149" s="166"/>
      <c r="AV149" s="166"/>
      <c r="AW149" s="166"/>
      <c r="AX149" s="166"/>
      <c r="AY149" s="166"/>
      <c r="AZ149" s="166"/>
      <c r="BA149" s="166"/>
      <c r="BB149" s="266"/>
      <c r="BC149" s="166"/>
      <c r="BD149" s="166"/>
      <c r="BE149" s="166"/>
      <c r="BF149" s="166"/>
      <c r="BG149" s="166"/>
      <c r="BH149" s="166"/>
      <c r="BI149" s="166"/>
      <c r="BJ149" s="166"/>
      <c r="BK149" s="166"/>
      <c r="BL149" s="166"/>
      <c r="BM149" s="166"/>
      <c r="BN149" s="166"/>
      <c r="BO149" s="166"/>
      <c r="BP149" s="166"/>
      <c r="BQ149" s="166"/>
      <c r="BR149" s="166"/>
      <c r="BS149" s="266"/>
      <c r="BT149" s="266"/>
      <c r="BU149" s="831"/>
      <c r="BV149" s="266"/>
      <c r="BW149" s="266"/>
      <c r="BX149" s="266"/>
      <c r="BY149" s="266"/>
      <c r="BZ149" s="266"/>
      <c r="CA149" s="266"/>
      <c r="CB149" s="266"/>
      <c r="CC149" s="266"/>
      <c r="CD149" s="266"/>
      <c r="CE149" s="266"/>
      <c r="CF149" s="266"/>
      <c r="CG149" s="266"/>
      <c r="CH149" s="266"/>
      <c r="CI149" s="266"/>
      <c r="CJ149" s="266"/>
      <c r="CK149" s="166"/>
      <c r="CL149" s="166"/>
      <c r="CM149" s="166"/>
      <c r="CN149" s="166"/>
      <c r="CO149" s="166"/>
      <c r="CP149" s="166"/>
      <c r="CQ149" s="166"/>
      <c r="CR149" s="166"/>
      <c r="CS149" s="166"/>
      <c r="CT149" s="166"/>
      <c r="CU149" s="166"/>
      <c r="CV149" s="166"/>
      <c r="CW149" s="166"/>
      <c r="CX149" s="166"/>
      <c r="CY149" s="166"/>
      <c r="CZ149" s="166"/>
      <c r="DA149" s="166"/>
      <c r="DB149" s="166"/>
      <c r="DC149" s="266"/>
      <c r="DD149" s="166"/>
      <c r="DE149" s="166"/>
      <c r="DF149" s="166"/>
      <c r="DG149" s="166"/>
      <c r="DH149" s="166"/>
      <c r="DI149" s="166"/>
      <c r="DJ149" s="166"/>
      <c r="DK149" s="166"/>
      <c r="DL149" s="166"/>
      <c r="DM149" s="166"/>
      <c r="DN149" s="166"/>
      <c r="DO149" s="166"/>
    </row>
    <row r="150" spans="1:119" ht="12.75">
      <c r="A150" s="496"/>
      <c r="B150" s="496"/>
      <c r="C150" s="496"/>
      <c r="D150" s="496"/>
      <c r="E150" s="544"/>
      <c r="F150" s="544"/>
      <c r="G150" s="544"/>
      <c r="H150" s="544"/>
      <c r="I150" s="544"/>
      <c r="J150" s="544"/>
      <c r="K150" s="544"/>
      <c r="L150" s="544"/>
      <c r="M150" s="544"/>
      <c r="N150" s="544"/>
      <c r="O150" s="544"/>
      <c r="P150" s="544"/>
      <c r="Q150" s="544"/>
      <c r="R150" s="544"/>
      <c r="S150" s="544"/>
      <c r="T150" s="544"/>
      <c r="U150" s="275"/>
      <c r="V150" s="166"/>
      <c r="W150" s="166"/>
      <c r="X150" s="166"/>
      <c r="Y150" s="166"/>
      <c r="Z150" s="166"/>
      <c r="AA150" s="166"/>
      <c r="AB150" s="166"/>
      <c r="AC150" s="166"/>
      <c r="AD150" s="166"/>
      <c r="AE150" s="166"/>
      <c r="AF150" s="166"/>
      <c r="AG150" s="166"/>
      <c r="AH150" s="166"/>
      <c r="AI150" s="266"/>
      <c r="AJ150" s="266"/>
      <c r="AK150" s="266"/>
      <c r="AL150" s="266"/>
      <c r="AM150" s="166"/>
      <c r="AN150" s="166"/>
      <c r="AO150" s="166"/>
      <c r="AP150" s="166"/>
      <c r="AQ150" s="166"/>
      <c r="AR150" s="166"/>
      <c r="AS150" s="166"/>
      <c r="AT150" s="166"/>
      <c r="AU150" s="166"/>
      <c r="AV150" s="166"/>
      <c r="AW150" s="166"/>
      <c r="AX150" s="166"/>
      <c r="AY150" s="166"/>
      <c r="AZ150" s="166"/>
      <c r="BA150" s="166"/>
      <c r="BB150" s="266"/>
      <c r="BC150" s="166"/>
      <c r="BD150" s="166"/>
      <c r="BE150" s="166"/>
      <c r="BF150" s="166"/>
      <c r="BG150" s="166"/>
      <c r="BH150" s="166"/>
      <c r="BI150" s="166"/>
      <c r="BJ150" s="166"/>
      <c r="BK150" s="166"/>
      <c r="BL150" s="166"/>
      <c r="BM150" s="166"/>
      <c r="BN150" s="166"/>
      <c r="BO150" s="166"/>
      <c r="BP150" s="166"/>
      <c r="BQ150" s="166"/>
      <c r="BR150" s="166"/>
      <c r="BS150" s="266"/>
      <c r="BT150" s="266"/>
      <c r="BU150" s="831"/>
      <c r="BV150" s="266"/>
      <c r="BW150" s="266"/>
      <c r="BX150" s="266"/>
      <c r="BY150" s="266"/>
      <c r="BZ150" s="266"/>
      <c r="CA150" s="266"/>
      <c r="CB150" s="266"/>
      <c r="CC150" s="266"/>
      <c r="CD150" s="266"/>
      <c r="CE150" s="266"/>
      <c r="CF150" s="266"/>
      <c r="CG150" s="266"/>
      <c r="CH150" s="266"/>
      <c r="CI150" s="266"/>
      <c r="CJ150" s="266"/>
      <c r="CK150" s="166"/>
      <c r="CL150" s="166"/>
      <c r="CM150" s="166"/>
      <c r="CN150" s="166"/>
      <c r="CO150" s="166"/>
      <c r="CP150" s="166"/>
      <c r="CQ150" s="166"/>
      <c r="CR150" s="166"/>
      <c r="CS150" s="166"/>
      <c r="CT150" s="166"/>
      <c r="CU150" s="166"/>
      <c r="CV150" s="166"/>
      <c r="CW150" s="166"/>
      <c r="CX150" s="166"/>
      <c r="CY150" s="166"/>
      <c r="CZ150" s="166"/>
      <c r="DA150" s="166"/>
      <c r="DB150" s="166"/>
      <c r="DC150" s="266"/>
      <c r="DD150" s="166"/>
      <c r="DE150" s="166"/>
      <c r="DF150" s="166"/>
      <c r="DG150" s="166"/>
      <c r="DH150" s="166"/>
      <c r="DI150" s="166"/>
      <c r="DJ150" s="166"/>
      <c r="DK150" s="166"/>
      <c r="DL150" s="166"/>
      <c r="DM150" s="166"/>
      <c r="DN150" s="166"/>
      <c r="DO150" s="166"/>
    </row>
    <row r="151" spans="1:119" ht="12.75">
      <c r="A151" s="496"/>
      <c r="B151" s="496"/>
      <c r="C151" s="496"/>
      <c r="D151" s="496"/>
      <c r="E151" s="544"/>
      <c r="F151" s="544"/>
      <c r="G151" s="544"/>
      <c r="H151" s="544"/>
      <c r="I151" s="544"/>
      <c r="J151" s="544"/>
      <c r="K151" s="544"/>
      <c r="L151" s="544"/>
      <c r="M151" s="544"/>
      <c r="N151" s="544"/>
      <c r="O151" s="544"/>
      <c r="P151" s="544"/>
      <c r="Q151" s="544"/>
      <c r="R151" s="544"/>
      <c r="S151" s="544"/>
      <c r="T151" s="544"/>
      <c r="U151" s="275"/>
      <c r="V151" s="166"/>
      <c r="W151" s="166"/>
      <c r="X151" s="166"/>
      <c r="Y151" s="166"/>
      <c r="Z151" s="166"/>
      <c r="AA151" s="166"/>
      <c r="AB151" s="166"/>
      <c r="AC151" s="166"/>
      <c r="AD151" s="166"/>
      <c r="AE151" s="166"/>
      <c r="AF151" s="166"/>
      <c r="AG151" s="166"/>
      <c r="AH151" s="166"/>
      <c r="AI151" s="266"/>
      <c r="AJ151" s="266"/>
      <c r="AK151" s="266"/>
      <c r="AL151" s="266"/>
      <c r="AM151" s="166"/>
      <c r="AN151" s="166"/>
      <c r="AO151" s="166"/>
      <c r="AP151" s="166"/>
      <c r="AQ151" s="166"/>
      <c r="AR151" s="166"/>
      <c r="AS151" s="166"/>
      <c r="AT151" s="166"/>
      <c r="AU151" s="166"/>
      <c r="AV151" s="166"/>
      <c r="AW151" s="166"/>
      <c r="AX151" s="166"/>
      <c r="AY151" s="166"/>
      <c r="AZ151" s="166"/>
      <c r="BA151" s="166"/>
      <c r="BB151" s="266"/>
      <c r="BC151" s="166"/>
      <c r="BD151" s="166"/>
      <c r="BE151" s="166"/>
      <c r="BF151" s="166"/>
      <c r="BG151" s="166"/>
      <c r="BH151" s="166"/>
      <c r="BI151" s="166"/>
      <c r="BJ151" s="166"/>
      <c r="BK151" s="166"/>
      <c r="BL151" s="166"/>
      <c r="BM151" s="166"/>
      <c r="BN151" s="166"/>
      <c r="BO151" s="166"/>
      <c r="BP151" s="166"/>
      <c r="BQ151" s="166"/>
      <c r="BR151" s="166"/>
      <c r="BS151" s="266"/>
      <c r="BT151" s="266"/>
      <c r="BU151" s="831"/>
      <c r="BV151" s="266"/>
      <c r="BW151" s="266"/>
      <c r="BX151" s="266"/>
      <c r="BY151" s="266"/>
      <c r="BZ151" s="266"/>
      <c r="CA151" s="266"/>
      <c r="CB151" s="266"/>
      <c r="CC151" s="266"/>
      <c r="CD151" s="266"/>
      <c r="CE151" s="266"/>
      <c r="CF151" s="266"/>
      <c r="CG151" s="266"/>
      <c r="CH151" s="266"/>
      <c r="CI151" s="266"/>
      <c r="CJ151" s="266"/>
      <c r="CK151" s="166"/>
      <c r="CL151" s="166"/>
      <c r="CM151" s="166"/>
      <c r="CN151" s="166"/>
      <c r="CO151" s="166"/>
      <c r="CP151" s="166"/>
      <c r="CQ151" s="166"/>
      <c r="CR151" s="166"/>
      <c r="CS151" s="166"/>
      <c r="CT151" s="166"/>
      <c r="CU151" s="166"/>
      <c r="CV151" s="166"/>
      <c r="CW151" s="166"/>
      <c r="CX151" s="166"/>
      <c r="CY151" s="166"/>
      <c r="CZ151" s="166"/>
      <c r="DA151" s="166"/>
      <c r="DB151" s="166"/>
      <c r="DC151" s="266"/>
      <c r="DD151" s="166"/>
      <c r="DE151" s="166"/>
      <c r="DF151" s="166"/>
      <c r="DG151" s="166"/>
      <c r="DH151" s="166"/>
      <c r="DI151" s="166"/>
      <c r="DJ151" s="166"/>
      <c r="DK151" s="166"/>
      <c r="DL151" s="166"/>
      <c r="DM151" s="166"/>
      <c r="DN151" s="166"/>
      <c r="DO151" s="166"/>
    </row>
    <row r="152" spans="1:119" ht="12.75">
      <c r="A152" s="496"/>
      <c r="B152" s="496"/>
      <c r="C152" s="496"/>
      <c r="D152" s="496"/>
      <c r="E152" s="544"/>
      <c r="F152" s="544"/>
      <c r="G152" s="544"/>
      <c r="H152" s="544"/>
      <c r="I152" s="544"/>
      <c r="J152" s="544"/>
      <c r="K152" s="544"/>
      <c r="L152" s="544"/>
      <c r="M152" s="544"/>
      <c r="N152" s="544"/>
      <c r="O152" s="544"/>
      <c r="P152" s="544"/>
      <c r="Q152" s="544"/>
      <c r="R152" s="544"/>
      <c r="S152" s="544"/>
      <c r="T152" s="544"/>
      <c r="U152" s="275"/>
      <c r="V152" s="166"/>
      <c r="W152" s="166"/>
      <c r="X152" s="166"/>
      <c r="Y152" s="166"/>
      <c r="Z152" s="166"/>
      <c r="AA152" s="166"/>
      <c r="AB152" s="166"/>
      <c r="AC152" s="166"/>
      <c r="AD152" s="166"/>
      <c r="AE152" s="166"/>
      <c r="AF152" s="166"/>
      <c r="AG152" s="166"/>
      <c r="AH152" s="166"/>
      <c r="AI152" s="266"/>
      <c r="AJ152" s="266"/>
      <c r="AK152" s="266"/>
      <c r="AL152" s="266"/>
      <c r="AM152" s="166"/>
      <c r="AN152" s="166"/>
      <c r="AO152" s="166"/>
      <c r="AP152" s="166"/>
      <c r="AQ152" s="166"/>
      <c r="AR152" s="166"/>
      <c r="AS152" s="166"/>
      <c r="AT152" s="166"/>
      <c r="AU152" s="166"/>
      <c r="AV152" s="166"/>
      <c r="AW152" s="166"/>
      <c r="AX152" s="166"/>
      <c r="AY152" s="166"/>
      <c r="AZ152" s="166"/>
      <c r="BA152" s="166"/>
      <c r="BB152" s="266"/>
      <c r="BC152" s="166"/>
      <c r="BD152" s="166"/>
      <c r="BE152" s="166"/>
      <c r="BF152" s="166"/>
      <c r="BG152" s="166"/>
      <c r="BH152" s="166"/>
      <c r="BI152" s="166"/>
      <c r="BJ152" s="166"/>
      <c r="BK152" s="166"/>
      <c r="BL152" s="166"/>
      <c r="BM152" s="166"/>
      <c r="BN152" s="166"/>
      <c r="BO152" s="166"/>
      <c r="BP152" s="166"/>
      <c r="BQ152" s="166"/>
      <c r="BR152" s="166"/>
      <c r="BS152" s="266"/>
      <c r="BT152" s="266"/>
      <c r="BU152" s="831"/>
      <c r="BV152" s="266"/>
      <c r="BW152" s="266"/>
      <c r="BX152" s="266"/>
      <c r="BY152" s="266"/>
      <c r="BZ152" s="266"/>
      <c r="CA152" s="266"/>
      <c r="CB152" s="266"/>
      <c r="CC152" s="266"/>
      <c r="CD152" s="266"/>
      <c r="CE152" s="266"/>
      <c r="CF152" s="266"/>
      <c r="CG152" s="266"/>
      <c r="CH152" s="266"/>
      <c r="CI152" s="266"/>
      <c r="CJ152" s="266"/>
      <c r="CK152" s="166"/>
      <c r="CL152" s="166"/>
      <c r="CM152" s="166"/>
      <c r="CN152" s="166"/>
      <c r="CO152" s="166"/>
      <c r="CP152" s="166"/>
      <c r="CQ152" s="166"/>
      <c r="CR152" s="166"/>
      <c r="CS152" s="166"/>
      <c r="CT152" s="166"/>
      <c r="CU152" s="166"/>
      <c r="CV152" s="166"/>
      <c r="CW152" s="166"/>
      <c r="CX152" s="166"/>
      <c r="CY152" s="166"/>
      <c r="CZ152" s="166"/>
      <c r="DA152" s="166"/>
      <c r="DB152" s="166"/>
      <c r="DC152" s="266"/>
      <c r="DD152" s="166"/>
      <c r="DE152" s="166"/>
      <c r="DF152" s="166"/>
      <c r="DG152" s="166"/>
      <c r="DH152" s="166"/>
      <c r="DI152" s="166"/>
      <c r="DJ152" s="166"/>
      <c r="DK152" s="166"/>
      <c r="DL152" s="166"/>
      <c r="DM152" s="166"/>
      <c r="DN152" s="166"/>
      <c r="DO152" s="166"/>
    </row>
    <row r="153" spans="1:119" ht="12.75">
      <c r="A153" s="496"/>
      <c r="B153" s="496"/>
      <c r="C153" s="496"/>
      <c r="D153" s="496"/>
      <c r="E153" s="544"/>
      <c r="F153" s="544"/>
      <c r="G153" s="544"/>
      <c r="H153" s="544"/>
      <c r="I153" s="544"/>
      <c r="J153" s="544"/>
      <c r="K153" s="544"/>
      <c r="L153" s="544"/>
      <c r="M153" s="544"/>
      <c r="N153" s="544"/>
      <c r="O153" s="544"/>
      <c r="P153" s="544"/>
      <c r="Q153" s="544"/>
      <c r="R153" s="544"/>
      <c r="S153" s="544"/>
      <c r="T153" s="544"/>
      <c r="U153" s="275"/>
      <c r="V153" s="166"/>
      <c r="W153" s="166"/>
      <c r="X153" s="166"/>
      <c r="Y153" s="166"/>
      <c r="Z153" s="166"/>
      <c r="AA153" s="166"/>
      <c r="AB153" s="166"/>
      <c r="AC153" s="166"/>
      <c r="AD153" s="166"/>
      <c r="AE153" s="166"/>
      <c r="AF153" s="166"/>
      <c r="AG153" s="166"/>
      <c r="AH153" s="166"/>
      <c r="AI153" s="266"/>
      <c r="AJ153" s="266"/>
      <c r="AK153" s="266"/>
      <c r="AL153" s="266"/>
      <c r="AM153" s="166"/>
      <c r="AN153" s="166"/>
      <c r="AO153" s="166"/>
      <c r="AP153" s="166"/>
      <c r="AQ153" s="166"/>
      <c r="AR153" s="166"/>
      <c r="AS153" s="166"/>
      <c r="AT153" s="166"/>
      <c r="AU153" s="166"/>
      <c r="AV153" s="166"/>
      <c r="AW153" s="166"/>
      <c r="AX153" s="166"/>
      <c r="AY153" s="166"/>
      <c r="AZ153" s="166"/>
      <c r="BA153" s="166"/>
      <c r="BB153" s="266"/>
      <c r="BC153" s="166"/>
      <c r="BD153" s="166"/>
      <c r="BE153" s="166"/>
      <c r="BF153" s="166"/>
      <c r="BG153" s="166"/>
      <c r="BH153" s="166"/>
      <c r="BI153" s="166"/>
      <c r="BJ153" s="166"/>
      <c r="BK153" s="166"/>
      <c r="BL153" s="166"/>
      <c r="BM153" s="166"/>
      <c r="BN153" s="166"/>
      <c r="BO153" s="166"/>
      <c r="BP153" s="166"/>
      <c r="BQ153" s="166"/>
      <c r="BR153" s="166"/>
      <c r="BS153" s="266"/>
      <c r="BT153" s="266"/>
      <c r="BU153" s="831"/>
      <c r="BV153" s="266"/>
      <c r="BW153" s="266"/>
      <c r="BX153" s="266"/>
      <c r="BY153" s="266"/>
      <c r="BZ153" s="266"/>
      <c r="CA153" s="266"/>
      <c r="CB153" s="266"/>
      <c r="CC153" s="266"/>
      <c r="CD153" s="266"/>
      <c r="CE153" s="266"/>
      <c r="CF153" s="266"/>
      <c r="CG153" s="266"/>
      <c r="CH153" s="266"/>
      <c r="CI153" s="266"/>
      <c r="CJ153" s="266"/>
      <c r="CK153" s="166"/>
      <c r="CL153" s="166"/>
      <c r="CM153" s="166"/>
      <c r="CN153" s="166"/>
      <c r="CO153" s="166"/>
      <c r="CP153" s="166"/>
      <c r="CQ153" s="166"/>
      <c r="CR153" s="166"/>
      <c r="CS153" s="166"/>
      <c r="CT153" s="166"/>
      <c r="CU153" s="166"/>
      <c r="CV153" s="166"/>
      <c r="CW153" s="166"/>
      <c r="CX153" s="166"/>
      <c r="CY153" s="166"/>
      <c r="CZ153" s="166"/>
      <c r="DA153" s="166"/>
      <c r="DB153" s="166"/>
      <c r="DC153" s="266"/>
      <c r="DD153" s="166"/>
      <c r="DE153" s="166"/>
      <c r="DF153" s="166"/>
      <c r="DG153" s="166"/>
      <c r="DH153" s="166"/>
      <c r="DI153" s="166"/>
      <c r="DJ153" s="166"/>
      <c r="DK153" s="166"/>
      <c r="DL153" s="166"/>
      <c r="DM153" s="166"/>
      <c r="DN153" s="166"/>
      <c r="DO153" s="166"/>
    </row>
    <row r="154" spans="5:73" ht="12.75">
      <c r="E154" s="11"/>
      <c r="G154" s="544"/>
      <c r="H154" s="544"/>
      <c r="I154" s="544"/>
      <c r="J154" s="544"/>
      <c r="K154" s="544"/>
      <c r="L154" s="544"/>
      <c r="M154" s="544"/>
      <c r="N154" s="544"/>
      <c r="O154" s="544"/>
      <c r="P154" s="544"/>
      <c r="Q154" s="544"/>
      <c r="R154" s="544"/>
      <c r="S154" s="544"/>
      <c r="BU154" s="11"/>
    </row>
    <row r="155" spans="5:73" ht="12">
      <c r="E155" s="11"/>
      <c r="BU155" s="11"/>
    </row>
    <row r="156" ht="12">
      <c r="BU156" s="11"/>
    </row>
    <row r="157" ht="12">
      <c r="BU157" s="11"/>
    </row>
    <row r="158" spans="57:69" ht="12.75">
      <c r="BE158" s="166"/>
      <c r="BF158" s="166"/>
      <c r="BG158" s="166"/>
      <c r="BH158" s="166"/>
      <c r="BI158" s="166"/>
      <c r="BJ158" s="166"/>
      <c r="BK158" s="166"/>
      <c r="BL158" s="166"/>
      <c r="BM158" s="166"/>
      <c r="BN158" s="166"/>
      <c r="BO158" s="166"/>
      <c r="BP158" s="166"/>
      <c r="BQ158" s="166"/>
    </row>
    <row r="159" spans="57:69" ht="12.75">
      <c r="BE159" s="166"/>
      <c r="BF159" s="166"/>
      <c r="BG159" s="166"/>
      <c r="BH159" s="166"/>
      <c r="BI159" s="166"/>
      <c r="BJ159" s="166"/>
      <c r="BK159" s="166"/>
      <c r="BL159" s="166"/>
      <c r="BM159" s="166"/>
      <c r="BN159" s="166"/>
      <c r="BO159" s="166"/>
      <c r="BP159" s="166"/>
      <c r="BQ159" s="166"/>
    </row>
  </sheetData>
  <sheetProtection password="F30F" sheet="1"/>
  <mergeCells count="270">
    <mergeCell ref="AY81:AZ81"/>
    <mergeCell ref="CE79:CH79"/>
    <mergeCell ref="CE81:CH81"/>
    <mergeCell ref="O79:S80"/>
    <mergeCell ref="O81:S81"/>
    <mergeCell ref="H75:O76"/>
    <mergeCell ref="G77:N84"/>
    <mergeCell ref="O82:S84"/>
    <mergeCell ref="AY79:AZ79"/>
    <mergeCell ref="AP81:AV81"/>
    <mergeCell ref="CO25:CW27"/>
    <mergeCell ref="CX25:DA27"/>
    <mergeCell ref="CO14:CX15"/>
    <mergeCell ref="CO16:CX17"/>
    <mergeCell ref="CO18:CX19"/>
    <mergeCell ref="CY14:DA15"/>
    <mergeCell ref="CY21:DA23"/>
    <mergeCell ref="CO21:CX23"/>
    <mergeCell ref="CY16:DA17"/>
    <mergeCell ref="CY18:DA19"/>
    <mergeCell ref="B25:C25"/>
    <mergeCell ref="B33:C33"/>
    <mergeCell ref="B73:C76"/>
    <mergeCell ref="K73:O74"/>
    <mergeCell ref="K71:O72"/>
    <mergeCell ref="K69:O70"/>
    <mergeCell ref="G63:O66"/>
    <mergeCell ref="B59:C69"/>
    <mergeCell ref="M47:N47"/>
    <mergeCell ref="B29:C32"/>
    <mergeCell ref="A83:D83"/>
    <mergeCell ref="CY4:DB8"/>
    <mergeCell ref="CM5:CS7"/>
    <mergeCell ref="CT5:CX7"/>
    <mergeCell ref="O77:S78"/>
    <mergeCell ref="CM55:DB57"/>
    <mergeCell ref="H67:O68"/>
    <mergeCell ref="P71:R72"/>
    <mergeCell ref="AY47:AZ47"/>
    <mergeCell ref="P69:R70"/>
    <mergeCell ref="AY59:AZ59"/>
    <mergeCell ref="AP73:AV73"/>
    <mergeCell ref="AW59:AX59"/>
    <mergeCell ref="W62:AJ72"/>
    <mergeCell ref="Q73:R73"/>
    <mergeCell ref="AP75:AV75"/>
    <mergeCell ref="AP60:AX62"/>
    <mergeCell ref="P13:R13"/>
    <mergeCell ref="P31:R31"/>
    <mergeCell ref="P67:R68"/>
    <mergeCell ref="P53:R53"/>
    <mergeCell ref="P61:R61"/>
    <mergeCell ref="P59:R59"/>
    <mergeCell ref="P63:R65"/>
    <mergeCell ref="AE37:AE39"/>
    <mergeCell ref="AI37:AI39"/>
    <mergeCell ref="X51:AK52"/>
    <mergeCell ref="AG37:AG39"/>
    <mergeCell ref="P37:R37"/>
    <mergeCell ref="P75:R76"/>
    <mergeCell ref="L25:M25"/>
    <mergeCell ref="H19:L20"/>
    <mergeCell ref="L11:S11"/>
    <mergeCell ref="P43:R43"/>
    <mergeCell ref="X49:AK50"/>
    <mergeCell ref="P45:R45"/>
    <mergeCell ref="M29:N29"/>
    <mergeCell ref="P15:R15"/>
    <mergeCell ref="AH37:AH39"/>
    <mergeCell ref="AJ37:AJ39"/>
    <mergeCell ref="G35:K36"/>
    <mergeCell ref="P51:R51"/>
    <mergeCell ref="B2:C7"/>
    <mergeCell ref="A9:D13"/>
    <mergeCell ref="P23:R23"/>
    <mergeCell ref="B41:C41"/>
    <mergeCell ref="B21:C24"/>
    <mergeCell ref="B37:C40"/>
    <mergeCell ref="G11:K12"/>
    <mergeCell ref="G23:K24"/>
    <mergeCell ref="B77:C77"/>
    <mergeCell ref="X55:AK56"/>
    <mergeCell ref="V59:AK61"/>
    <mergeCell ref="AA37:AA39"/>
    <mergeCell ref="M37:O37"/>
    <mergeCell ref="M61:N61"/>
    <mergeCell ref="AF37:AF39"/>
    <mergeCell ref="G57:K58"/>
    <mergeCell ref="P39:R39"/>
    <mergeCell ref="P57:R57"/>
    <mergeCell ref="X53:AK54"/>
    <mergeCell ref="P35:R35"/>
    <mergeCell ref="P25:R25"/>
    <mergeCell ref="V11:AK13"/>
    <mergeCell ref="H15:K16"/>
    <mergeCell ref="H13:K14"/>
    <mergeCell ref="P17:R17"/>
    <mergeCell ref="P19:R19"/>
    <mergeCell ref="G43:K44"/>
    <mergeCell ref="H17:K18"/>
    <mergeCell ref="BF51:BQ53"/>
    <mergeCell ref="BN37:BP37"/>
    <mergeCell ref="CW59:CX59"/>
    <mergeCell ref="BE16:BJ18"/>
    <mergeCell ref="CN79:CQ81"/>
    <mergeCell ref="G5:S8"/>
    <mergeCell ref="P47:R47"/>
    <mergeCell ref="P55:R55"/>
    <mergeCell ref="P49:R49"/>
    <mergeCell ref="Y37:Y39"/>
    <mergeCell ref="CT47:DA47"/>
    <mergeCell ref="CN75:DA76"/>
    <mergeCell ref="CM29:CN48"/>
    <mergeCell ref="CN59:CU60"/>
    <mergeCell ref="V35:X38"/>
    <mergeCell ref="Z37:Z39"/>
    <mergeCell ref="AC37:AC39"/>
    <mergeCell ref="AB37:AB39"/>
    <mergeCell ref="V31:X33"/>
    <mergeCell ref="AD37:AD39"/>
    <mergeCell ref="AP63:AV63"/>
    <mergeCell ref="AY76:AZ78"/>
    <mergeCell ref="CR79:CV81"/>
    <mergeCell ref="CW79:DA81"/>
    <mergeCell ref="CT45:DA46"/>
    <mergeCell ref="BL39:BM39"/>
    <mergeCell ref="CQ51:DA52"/>
    <mergeCell ref="BP61:BQ61"/>
    <mergeCell ref="CN61:CP62"/>
    <mergeCell ref="BF73:BQ75"/>
    <mergeCell ref="AP76:AX78"/>
    <mergeCell ref="AY73:AZ73"/>
    <mergeCell ref="AP68:AX70"/>
    <mergeCell ref="AP65:AV65"/>
    <mergeCell ref="AY67:AZ67"/>
    <mergeCell ref="AP67:AV67"/>
    <mergeCell ref="AY75:AZ75"/>
    <mergeCell ref="CN77:DA78"/>
    <mergeCell ref="CV65:CX67"/>
    <mergeCell ref="CN73:DA74"/>
    <mergeCell ref="BK65:BL65"/>
    <mergeCell ref="BG65:BH65"/>
    <mergeCell ref="CE75:CH75"/>
    <mergeCell ref="BP67:BQ67"/>
    <mergeCell ref="BI71:BJ71"/>
    <mergeCell ref="CE77:CH77"/>
    <mergeCell ref="BM65:BN65"/>
    <mergeCell ref="CW63:CX63"/>
    <mergeCell ref="BK69:BL69"/>
    <mergeCell ref="BK71:BL71"/>
    <mergeCell ref="BI69:BJ69"/>
    <mergeCell ref="CN71:DA72"/>
    <mergeCell ref="AY71:AZ71"/>
    <mergeCell ref="BM71:BN71"/>
    <mergeCell ref="BM63:BN63"/>
    <mergeCell ref="BG71:BH71"/>
    <mergeCell ref="BG67:BH67"/>
    <mergeCell ref="BM69:BN69"/>
    <mergeCell ref="BG69:BH69"/>
    <mergeCell ref="BK67:BL67"/>
    <mergeCell ref="BM67:BN67"/>
    <mergeCell ref="BK63:BL63"/>
    <mergeCell ref="BI65:BJ65"/>
    <mergeCell ref="BI63:BJ63"/>
    <mergeCell ref="BG63:BH63"/>
    <mergeCell ref="CW61:CX61"/>
    <mergeCell ref="BP47:BQ47"/>
    <mergeCell ref="CN65:CU67"/>
    <mergeCell ref="CN63:CU64"/>
    <mergeCell ref="BO47:BO49"/>
    <mergeCell ref="BE57:BN58"/>
    <mergeCell ref="CQ61:CU62"/>
    <mergeCell ref="BM61:BN61"/>
    <mergeCell ref="BO57:BQ58"/>
    <mergeCell ref="BI67:BJ67"/>
    <mergeCell ref="BF39:BG39"/>
    <mergeCell ref="BF41:BG41"/>
    <mergeCell ref="BJ39:BK39"/>
    <mergeCell ref="AY57:AZ57"/>
    <mergeCell ref="AY43:AZ43"/>
    <mergeCell ref="BO61:BO71"/>
    <mergeCell ref="AY49:AZ49"/>
    <mergeCell ref="AY60:AZ62"/>
    <mergeCell ref="BK61:BL61"/>
    <mergeCell ref="BO39:BO45"/>
    <mergeCell ref="BJ41:BK41"/>
    <mergeCell ref="BF67:BF71"/>
    <mergeCell ref="AY63:AZ63"/>
    <mergeCell ref="AY55:AZ55"/>
    <mergeCell ref="BH45:BI45"/>
    <mergeCell ref="BJ45:BK45"/>
    <mergeCell ref="AY65:AZ65"/>
    <mergeCell ref="AY68:AZ70"/>
    <mergeCell ref="BF61:BF65"/>
    <mergeCell ref="BI61:BJ61"/>
    <mergeCell ref="AP25:AW25"/>
    <mergeCell ref="AP23:AW23"/>
    <mergeCell ref="V23:X25"/>
    <mergeCell ref="Z17:AI17"/>
    <mergeCell ref="V27:X29"/>
    <mergeCell ref="V17:Y17"/>
    <mergeCell ref="V19:X21"/>
    <mergeCell ref="AP26:AU28"/>
    <mergeCell ref="AP29:AW29"/>
    <mergeCell ref="AP33:AW33"/>
    <mergeCell ref="AY53:AZ53"/>
    <mergeCell ref="AY45:AZ45"/>
    <mergeCell ref="AW43:AX43"/>
    <mergeCell ref="AP40:AX42"/>
    <mergeCell ref="AY33:AZ33"/>
    <mergeCell ref="AO37:AW39"/>
    <mergeCell ref="AY51:AZ51"/>
    <mergeCell ref="AX37:AZ39"/>
    <mergeCell ref="BP39:BQ39"/>
    <mergeCell ref="BG61:BH61"/>
    <mergeCell ref="BP3:BR7"/>
    <mergeCell ref="BE5:BI7"/>
    <mergeCell ref="BL5:BN7"/>
    <mergeCell ref="BO21:BQ22"/>
    <mergeCell ref="BO34:BQ35"/>
    <mergeCell ref="BE34:BN35"/>
    <mergeCell ref="BL45:BM45"/>
    <mergeCell ref="BH39:BI39"/>
    <mergeCell ref="V5:AB7"/>
    <mergeCell ref="AC5:AG7"/>
    <mergeCell ref="AH4:AK8"/>
    <mergeCell ref="AX11:AZ13"/>
    <mergeCell ref="AV14:AX16"/>
    <mergeCell ref="AO5:AT7"/>
    <mergeCell ref="W15:AK16"/>
    <mergeCell ref="AP31:AW31"/>
    <mergeCell ref="AY31:AZ31"/>
    <mergeCell ref="AU5:AW7"/>
    <mergeCell ref="BE11:BR13"/>
    <mergeCell ref="BO23:BQ24"/>
    <mergeCell ref="AO11:AT13"/>
    <mergeCell ref="AU11:AW13"/>
    <mergeCell ref="AY29:AZ29"/>
    <mergeCell ref="AP14:AU16"/>
    <mergeCell ref="AV26:AX28"/>
    <mergeCell ref="AY21:AZ21"/>
    <mergeCell ref="BL43:BM43"/>
    <mergeCell ref="AY19:AZ19"/>
    <mergeCell ref="AY4:BA8"/>
    <mergeCell ref="AY14:AZ16"/>
    <mergeCell ref="AY25:AZ25"/>
    <mergeCell ref="AY23:AZ23"/>
    <mergeCell ref="AY40:AZ42"/>
    <mergeCell ref="AY26:BA28"/>
    <mergeCell ref="BJ43:BK43"/>
    <mergeCell ref="AY17:AZ17"/>
    <mergeCell ref="BO25:BQ26"/>
    <mergeCell ref="BJ49:BK49"/>
    <mergeCell ref="BF43:BG43"/>
    <mergeCell ref="BI21:BN22"/>
    <mergeCell ref="BE29:BR31"/>
    <mergeCell ref="BH43:BI43"/>
    <mergeCell ref="BL49:BM49"/>
    <mergeCell ref="BH41:BI41"/>
    <mergeCell ref="BF45:BG45"/>
    <mergeCell ref="CY11:DA13"/>
    <mergeCell ref="CV11:CX13"/>
    <mergeCell ref="CM11:CU13"/>
    <mergeCell ref="CE67:CH67"/>
    <mergeCell ref="B45:C55"/>
    <mergeCell ref="CG4:CI8"/>
    <mergeCell ref="BV5:CA7"/>
    <mergeCell ref="CB5:CF7"/>
    <mergeCell ref="BV11:CI13"/>
    <mergeCell ref="BL41:BM41"/>
  </mergeCells>
  <conditionalFormatting sqref="W62">
    <cfRule type="expression" priority="171" dxfId="102" stopIfTrue="1">
      <formula>Kalkulation_Eigenstrom!#REF!=1</formula>
    </cfRule>
  </conditionalFormatting>
  <conditionalFormatting sqref="Y43">
    <cfRule type="expression" priority="162" dxfId="18" stopIfTrue="1">
      <formula>$Y$43&gt;999.9</formula>
    </cfRule>
  </conditionalFormatting>
  <conditionalFormatting sqref="Z43">
    <cfRule type="expression" priority="161" dxfId="18" stopIfTrue="1">
      <formula>$Z$43&gt;999.9</formula>
    </cfRule>
  </conditionalFormatting>
  <conditionalFormatting sqref="AA43">
    <cfRule type="expression" priority="160" dxfId="18" stopIfTrue="1">
      <formula>$AA$43&gt;999.9</formula>
    </cfRule>
  </conditionalFormatting>
  <conditionalFormatting sqref="AB43">
    <cfRule type="expression" priority="159" dxfId="18" stopIfTrue="1">
      <formula>$AB$43&gt;999.9</formula>
    </cfRule>
  </conditionalFormatting>
  <conditionalFormatting sqref="AC43">
    <cfRule type="expression" priority="158" dxfId="18" stopIfTrue="1">
      <formula>$AC$43&gt;999.9</formula>
    </cfRule>
  </conditionalFormatting>
  <conditionalFormatting sqref="AD43">
    <cfRule type="expression" priority="157" dxfId="18" stopIfTrue="1">
      <formula>$AD$43&gt;999.9</formula>
    </cfRule>
  </conditionalFormatting>
  <conditionalFormatting sqref="AE43">
    <cfRule type="expression" priority="156" dxfId="18" stopIfTrue="1">
      <formula>$AE$43&gt;999.9</formula>
    </cfRule>
  </conditionalFormatting>
  <conditionalFormatting sqref="AF43">
    <cfRule type="expression" priority="155" dxfId="18" stopIfTrue="1">
      <formula>$AF$43&gt;999.9</formula>
    </cfRule>
  </conditionalFormatting>
  <conditionalFormatting sqref="AG43">
    <cfRule type="expression" priority="154" dxfId="18" stopIfTrue="1">
      <formula>$AG$43&gt;999.9</formula>
    </cfRule>
  </conditionalFormatting>
  <conditionalFormatting sqref="AH43">
    <cfRule type="expression" priority="153" dxfId="18" stopIfTrue="1">
      <formula>$AH$43&gt;999.9</formula>
    </cfRule>
  </conditionalFormatting>
  <conditionalFormatting sqref="AI43">
    <cfRule type="expression" priority="152" dxfId="18" stopIfTrue="1">
      <formula>$AI$43&gt;999.9</formula>
    </cfRule>
  </conditionalFormatting>
  <conditionalFormatting sqref="AJ43">
    <cfRule type="expression" priority="151" dxfId="18" stopIfTrue="1">
      <formula>$AJ$43&gt;999.9</formula>
    </cfRule>
  </conditionalFormatting>
  <conditionalFormatting sqref="Y41">
    <cfRule type="expression" priority="137" dxfId="18" stopIfTrue="1">
      <formula>$Y$41&gt;999.9</formula>
    </cfRule>
  </conditionalFormatting>
  <conditionalFormatting sqref="Z41">
    <cfRule type="expression" priority="136" dxfId="18" stopIfTrue="1">
      <formula>$Z$41&gt;999.9</formula>
    </cfRule>
  </conditionalFormatting>
  <conditionalFormatting sqref="AA41">
    <cfRule type="expression" priority="135" dxfId="18" stopIfTrue="1">
      <formula>$AA$41&gt;999.9</formula>
    </cfRule>
  </conditionalFormatting>
  <conditionalFormatting sqref="AB41">
    <cfRule type="expression" priority="134" dxfId="18" stopIfTrue="1">
      <formula>$AB$41&gt;999.9</formula>
    </cfRule>
  </conditionalFormatting>
  <conditionalFormatting sqref="AC41">
    <cfRule type="expression" priority="133" dxfId="18" stopIfTrue="1">
      <formula>$AC$41&gt;999.9</formula>
    </cfRule>
  </conditionalFormatting>
  <conditionalFormatting sqref="AD41">
    <cfRule type="expression" priority="132" dxfId="18" stopIfTrue="1">
      <formula>$AD$41&gt;999.9</formula>
    </cfRule>
  </conditionalFormatting>
  <conditionalFormatting sqref="AE41">
    <cfRule type="expression" priority="131" dxfId="18" stopIfTrue="1">
      <formula>$AE$41&gt;999.9</formula>
    </cfRule>
  </conditionalFormatting>
  <conditionalFormatting sqref="AF41">
    <cfRule type="expression" priority="130" dxfId="18" stopIfTrue="1">
      <formula>$AF$41&gt;999.9</formula>
    </cfRule>
  </conditionalFormatting>
  <conditionalFormatting sqref="AG41">
    <cfRule type="expression" priority="129" dxfId="18" stopIfTrue="1">
      <formula>$AG$41&gt;999.9</formula>
    </cfRule>
  </conditionalFormatting>
  <conditionalFormatting sqref="AH41">
    <cfRule type="expression" priority="128" dxfId="18" stopIfTrue="1">
      <formula>$AH$41&gt;999.9</formula>
    </cfRule>
  </conditionalFormatting>
  <conditionalFormatting sqref="AI41">
    <cfRule type="expression" priority="127" dxfId="18" stopIfTrue="1">
      <formula>$AI$41&gt;999.9</formula>
    </cfRule>
  </conditionalFormatting>
  <conditionalFormatting sqref="AJ41">
    <cfRule type="expression" priority="126" dxfId="18" stopIfTrue="1">
      <formula>$AJ$41&gt;999.9</formula>
    </cfRule>
  </conditionalFormatting>
  <conditionalFormatting sqref="Y45">
    <cfRule type="expression" priority="125" dxfId="18" stopIfTrue="1">
      <formula>$Y$45&gt;999.9</formula>
    </cfRule>
  </conditionalFormatting>
  <conditionalFormatting sqref="Z45">
    <cfRule type="expression" priority="124" dxfId="18" stopIfTrue="1">
      <formula>$Z$45&gt;999.9</formula>
    </cfRule>
  </conditionalFormatting>
  <conditionalFormatting sqref="AA45">
    <cfRule type="expression" priority="123" dxfId="18" stopIfTrue="1">
      <formula>$AA$45&gt;999.9</formula>
    </cfRule>
  </conditionalFormatting>
  <conditionalFormatting sqref="AB45">
    <cfRule type="expression" priority="122" dxfId="18" stopIfTrue="1">
      <formula>$AB$45&gt;999.9</formula>
    </cfRule>
  </conditionalFormatting>
  <conditionalFormatting sqref="AC45">
    <cfRule type="expression" priority="121" dxfId="18" stopIfTrue="1">
      <formula>$AC$45&gt;999.9</formula>
    </cfRule>
  </conditionalFormatting>
  <conditionalFormatting sqref="AD45">
    <cfRule type="expression" priority="120" dxfId="18" stopIfTrue="1">
      <formula>$AD$45&gt;999.9</formula>
    </cfRule>
  </conditionalFormatting>
  <conditionalFormatting sqref="AE45">
    <cfRule type="expression" priority="119" dxfId="18" stopIfTrue="1">
      <formula>$AE$45&gt;999.9</formula>
    </cfRule>
  </conditionalFormatting>
  <conditionalFormatting sqref="AF45">
    <cfRule type="expression" priority="118" dxfId="18" stopIfTrue="1">
      <formula>$AF$45&gt;999.9</formula>
    </cfRule>
  </conditionalFormatting>
  <conditionalFormatting sqref="AG45">
    <cfRule type="expression" priority="117" dxfId="18" stopIfTrue="1">
      <formula>$AG$45&gt;999.9</formula>
    </cfRule>
  </conditionalFormatting>
  <conditionalFormatting sqref="AH45">
    <cfRule type="expression" priority="116" dxfId="18" stopIfTrue="1">
      <formula>$AH$45&gt;999.9</formula>
    </cfRule>
  </conditionalFormatting>
  <conditionalFormatting sqref="AI45">
    <cfRule type="expression" priority="115" dxfId="18" stopIfTrue="1">
      <formula>$AI$45&gt;999.9</formula>
    </cfRule>
  </conditionalFormatting>
  <conditionalFormatting sqref="AJ45">
    <cfRule type="expression" priority="114" dxfId="18" stopIfTrue="1">
      <formula>$AJ$45&gt;999.9</formula>
    </cfRule>
  </conditionalFormatting>
  <conditionalFormatting sqref="BN25 M61">
    <cfRule type="expression" priority="172" dxfId="65" stopIfTrue="1">
      <formula>$AN$19=1</formula>
    </cfRule>
  </conditionalFormatting>
  <conditionalFormatting sqref="BM65:BN65 BM71:BN71 BP71 BP65">
    <cfRule type="expression" priority="174" dxfId="64" stopIfTrue="1">
      <formula>$AN$49=3</formula>
    </cfRule>
  </conditionalFormatting>
  <conditionalFormatting sqref="BF73">
    <cfRule type="expression" priority="178" dxfId="63" stopIfTrue="1">
      <formula>$AN$49=3</formula>
    </cfRule>
  </conditionalFormatting>
  <conditionalFormatting sqref="B29 B33">
    <cfRule type="expression" priority="70" dxfId="8" stopIfTrue="1">
      <formula>$E$43=1</formula>
    </cfRule>
  </conditionalFormatting>
  <conditionalFormatting sqref="B21 B25">
    <cfRule type="expression" priority="71" dxfId="8" stopIfTrue="1">
      <formula>$E$23=1</formula>
    </cfRule>
  </conditionalFormatting>
  <conditionalFormatting sqref="CR29:CR47">
    <cfRule type="expression" priority="194" dxfId="15" stopIfTrue="1">
      <formula>AND($BD$25/100&lt;Kalkulation_Eigenstrom!#REF!,Kalkulation_Eigenstrom!#REF!&gt;0.1)</formula>
    </cfRule>
  </conditionalFormatting>
  <conditionalFormatting sqref="CQ30:CQ47">
    <cfRule type="expression" priority="66" dxfId="15" stopIfTrue="1">
      <formula>$AN$19=1</formula>
    </cfRule>
  </conditionalFormatting>
  <conditionalFormatting sqref="B37:B40">
    <cfRule type="expression" priority="62" dxfId="8" stopIfTrue="1">
      <formula>E23=1</formula>
    </cfRule>
  </conditionalFormatting>
  <conditionalFormatting sqref="B41">
    <cfRule type="expression" priority="61" dxfId="8" stopIfTrue="1">
      <formula>E23=1</formula>
    </cfRule>
  </conditionalFormatting>
  <conditionalFormatting sqref="C37:C40">
    <cfRule type="expression" priority="243" dxfId="8" stopIfTrue="1">
      <formula>G23=1</formula>
    </cfRule>
  </conditionalFormatting>
  <conditionalFormatting sqref="C41">
    <cfRule type="expression" priority="245" dxfId="8" stopIfTrue="1">
      <formula>G23=1</formula>
    </cfRule>
  </conditionalFormatting>
  <dataValidations count="6">
    <dataValidation allowBlank="1" showInputMessage="1" showErrorMessage="1" prompt="Bitte den prognostizierten Preis mit den Pfeiltasten einstellen !" sqref="Q73"/>
    <dataValidation allowBlank="1" showInputMessage="1" showErrorMessage="1" promptTitle="Hinweis:" prompt="Die Erfassung des &#10;Eigenstromver-&#10;brauchs erfolgt&#10;im Bereich&#10;Stromverwendung" sqref="BN25"/>
    <dataValidation allowBlank="1" showInputMessage="1" showErrorMessage="1" promptTitle="Hinweis" prompt="Bitte die Preis-Prognose&#10;im Bereich&#10;KOSTEN der&#10;EIGENSTROMNUTZUNG&#10;erfassen!" sqref="BJ49"/>
    <dataValidation allowBlank="1" showInputMessage="1" showErrorMessage="1" promptTitle="Hinweis:" prompt="Die Erfassung der &#10;Laufzeit der&#10;Anlage erfolgt&#10;im Bereich&#10;Solarertrag (Prognose)" sqref="AW43:AX43"/>
    <dataValidation allowBlank="1" showInputMessage="1" showErrorMessage="1" promptTitle="Hinweis:" prompt="Die Erfassung des &#10;Zinssatzes&#10;erfolgt&#10;im Bereich&#10;Jahreskosten" sqref="AW59:AX59"/>
    <dataValidation type="custom" allowBlank="1" showInputMessage="1" showErrorMessage="1" error="EEG- Förderung (feste Einspeisevergütung)&#10;&gt; ab 04/2012 begrenzt auf 10.000 kWp &#10;&gt; ab 08/2014 begrenzt auf 500 kWp (§37, EEG 2014)&#10;&gt; ab 01/2016 begrenzt auf 100 kWp (§37; EEG 2014)" sqref="P13:R13">
      <formula1>P13&lt;=E15</formula1>
    </dataValidation>
  </dataValidations>
  <hyperlinks>
    <hyperlink ref="B21:C24" location="Kalkulation_Eigenstrom!U1:AK8" display="Anlage"/>
    <hyperlink ref="B25:C25" location="Kalkulation_Eigenstrom!U1:AK8" display="(hier klicken)"/>
    <hyperlink ref="B29:C32" location="Kalkulation_Eigenstrom!AM1:BA8" display="Kosten"/>
    <hyperlink ref="B33:C33" location="Kalkulation_Eigenstrom!AM1:BA8" display="(hier klicken)"/>
    <hyperlink ref="B37:C40" location="Kalkulation_Eigenstrom!BC1:BR8" display="Erlöse "/>
    <hyperlink ref="B41:C41" location="Kalkulation_Eigenstrom!BC1:BR8" display="(hier klicken)"/>
    <hyperlink ref="B73:C76" location="Druck!G15" display="Druck "/>
    <hyperlink ref="B77:C77" location="Druck!G15" display="(hier klicken)"/>
    <hyperlink ref="B45:C55" location="Kalkulation_Eigenstrom!BT1:CL8" display="Kalkulation_Eigenstrom!BT1:CL8"/>
    <hyperlink ref="B59:C69" location="Kalkulation_Eigenstrom!CK1:DE8" display="Kalkulation_Eigenstrom!CK1:DE8"/>
  </hyperlinks>
  <printOptions horizontalCentered="1"/>
  <pageMargins left="0.7874015748031497" right="0.1968503937007874" top="0.7874015748031497" bottom="0.7874015748031497" header="0.5118110236220472" footer="0.5118110236220472"/>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F199"/>
  <sheetViews>
    <sheetView showGridLines="0" showZeros="0" zoomScale="120" zoomScaleNormal="120" zoomScalePageLayoutView="0" workbookViewId="0" topLeftCell="A1">
      <pane ySplit="20" topLeftCell="A21" activePane="bottomLeft" state="frozen"/>
      <selection pane="topLeft" activeCell="A1" sqref="A1"/>
      <selection pane="bottomLeft" activeCell="A21" sqref="A21"/>
    </sheetView>
  </sheetViews>
  <sheetFormatPr defaultColWidth="3.7109375" defaultRowHeight="12" customHeight="1"/>
  <cols>
    <col min="1" max="1" width="0.2890625" style="725" customWidth="1"/>
    <col min="2" max="2" width="2.7109375" style="759" customWidth="1"/>
    <col min="3" max="28" width="3.421875" style="725" customWidth="1"/>
    <col min="29" max="29" width="1.7109375" style="725" customWidth="1"/>
    <col min="30" max="16384" width="3.7109375" style="725" customWidth="1"/>
  </cols>
  <sheetData>
    <row r="1" spans="3:28" ht="3" customHeight="1">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row>
    <row r="2" spans="3:28" ht="4.5" customHeight="1" thickBot="1">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row>
    <row r="3" spans="3:28" ht="16.5" customHeight="1" thickTop="1">
      <c r="C3" s="727"/>
      <c r="D3" s="728" t="s">
        <v>544</v>
      </c>
      <c r="E3" s="727"/>
      <c r="F3" s="727"/>
      <c r="G3" s="727"/>
      <c r="H3" s="727"/>
      <c r="I3" s="728"/>
      <c r="J3" s="727"/>
      <c r="K3" s="729"/>
      <c r="L3" s="727"/>
      <c r="M3" s="1159" t="s">
        <v>425</v>
      </c>
      <c r="N3" s="1160"/>
      <c r="O3" s="1160"/>
      <c r="P3" s="1160"/>
      <c r="Q3" s="1160"/>
      <c r="R3" s="1160"/>
      <c r="S3" s="1161"/>
      <c r="T3" s="727"/>
      <c r="U3" s="727"/>
      <c r="V3" s="727"/>
      <c r="W3" s="727"/>
      <c r="X3" s="727"/>
      <c r="Y3" s="727"/>
      <c r="Z3" s="727"/>
      <c r="AA3" s="727"/>
      <c r="AB3" s="727"/>
    </row>
    <row r="4" spans="3:28" ht="4.5" customHeight="1">
      <c r="C4" s="727"/>
      <c r="D4" s="727"/>
      <c r="E4" s="727"/>
      <c r="F4" s="727"/>
      <c r="G4" s="727"/>
      <c r="H4" s="727"/>
      <c r="I4" s="727"/>
      <c r="J4" s="727"/>
      <c r="K4" s="727"/>
      <c r="L4" s="727"/>
      <c r="M4" s="1162"/>
      <c r="N4" s="1163"/>
      <c r="O4" s="1163"/>
      <c r="P4" s="1163"/>
      <c r="Q4" s="1163"/>
      <c r="R4" s="1163"/>
      <c r="S4" s="1164"/>
      <c r="T4" s="727"/>
      <c r="U4" s="727"/>
      <c r="V4" s="727"/>
      <c r="W4" s="727"/>
      <c r="X4" s="727"/>
      <c r="Y4" s="727"/>
      <c r="Z4" s="727"/>
      <c r="AA4" s="727"/>
      <c r="AB4" s="727"/>
    </row>
    <row r="5" spans="3:28" ht="16.5" customHeight="1">
      <c r="C5" s="727"/>
      <c r="D5" s="730" t="s">
        <v>386</v>
      </c>
      <c r="E5" s="727"/>
      <c r="F5" s="727"/>
      <c r="G5" s="727"/>
      <c r="H5" s="727"/>
      <c r="I5" s="727"/>
      <c r="J5" s="727"/>
      <c r="K5" s="727"/>
      <c r="L5" s="727"/>
      <c r="M5" s="1162"/>
      <c r="N5" s="1163"/>
      <c r="O5" s="1163"/>
      <c r="P5" s="1163"/>
      <c r="Q5" s="1163"/>
      <c r="R5" s="1163"/>
      <c r="S5" s="1164"/>
      <c r="T5" s="727"/>
      <c r="U5" s="727"/>
      <c r="V5" s="727"/>
      <c r="W5" s="727"/>
      <c r="X5" s="727"/>
      <c r="Y5" s="727"/>
      <c r="Z5" s="727"/>
      <c r="AA5" s="727"/>
      <c r="AB5" s="727"/>
    </row>
    <row r="6" spans="3:28" ht="9" customHeight="1" thickBot="1">
      <c r="C6" s="727"/>
      <c r="D6" s="727"/>
      <c r="E6" s="727"/>
      <c r="F6" s="727"/>
      <c r="G6" s="727"/>
      <c r="H6" s="727"/>
      <c r="I6" s="727"/>
      <c r="J6" s="727"/>
      <c r="K6" s="727"/>
      <c r="L6" s="727"/>
      <c r="M6" s="1165"/>
      <c r="N6" s="1166"/>
      <c r="O6" s="1166"/>
      <c r="P6" s="1166"/>
      <c r="Q6" s="1166"/>
      <c r="R6" s="1166"/>
      <c r="S6" s="1167"/>
      <c r="T6" s="727"/>
      <c r="U6" s="727"/>
      <c r="V6" s="727"/>
      <c r="W6" s="727"/>
      <c r="X6" s="727"/>
      <c r="Y6" s="727"/>
      <c r="Z6" s="727"/>
      <c r="AA6" s="731"/>
      <c r="AB6" s="727"/>
    </row>
    <row r="7" spans="3:28" ht="4.5" customHeight="1" thickTop="1">
      <c r="C7" s="727"/>
      <c r="D7" s="732"/>
      <c r="E7" s="732"/>
      <c r="F7" s="732"/>
      <c r="G7" s="732"/>
      <c r="H7" s="732"/>
      <c r="I7" s="732"/>
      <c r="J7" s="727"/>
      <c r="K7" s="727"/>
      <c r="L7" s="727"/>
      <c r="M7" s="727"/>
      <c r="N7" s="727"/>
      <c r="O7" s="727"/>
      <c r="P7" s="727"/>
      <c r="Q7" s="727"/>
      <c r="R7" s="727"/>
      <c r="S7" s="727"/>
      <c r="T7" s="727"/>
      <c r="U7" s="727"/>
      <c r="V7" s="727"/>
      <c r="W7" s="727"/>
      <c r="X7" s="727"/>
      <c r="Y7" s="727"/>
      <c r="Z7" s="727"/>
      <c r="AA7" s="727"/>
      <c r="AB7" s="727"/>
    </row>
    <row r="8" spans="2:9" s="733" customFormat="1" ht="6" customHeight="1">
      <c r="B8" s="759"/>
      <c r="D8" s="734"/>
      <c r="E8" s="734"/>
      <c r="F8" s="734"/>
      <c r="G8" s="734"/>
      <c r="H8" s="734"/>
      <c r="I8" s="734"/>
    </row>
    <row r="9" ht="16.5" customHeight="1">
      <c r="D9" s="735" t="s">
        <v>387</v>
      </c>
    </row>
    <row r="10" ht="12" customHeight="1">
      <c r="D10" s="725" t="s">
        <v>426</v>
      </c>
    </row>
    <row r="11" ht="12" customHeight="1">
      <c r="D11" s="725" t="s">
        <v>388</v>
      </c>
    </row>
    <row r="12" spans="2:9" s="733" customFormat="1" ht="6" customHeight="1">
      <c r="B12" s="759"/>
      <c r="D12" s="734"/>
      <c r="E12" s="734"/>
      <c r="F12" s="734"/>
      <c r="G12" s="734"/>
      <c r="H12" s="734"/>
      <c r="I12" s="734"/>
    </row>
    <row r="13" ht="12" customHeight="1">
      <c r="D13" s="725" t="s">
        <v>389</v>
      </c>
    </row>
    <row r="14" ht="16.5" customHeight="1">
      <c r="D14" s="735" t="s">
        <v>427</v>
      </c>
    </row>
    <row r="15" spans="2:9" s="733" customFormat="1" ht="6" customHeight="1" thickBot="1">
      <c r="B15" s="759"/>
      <c r="D15" s="734"/>
      <c r="E15" s="734"/>
      <c r="F15" s="734"/>
      <c r="G15" s="734"/>
      <c r="H15" s="734"/>
      <c r="I15" s="734"/>
    </row>
    <row r="16" spans="4:28" ht="13.5" customHeight="1">
      <c r="D16" s="768" t="s">
        <v>499</v>
      </c>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70"/>
    </row>
    <row r="17" spans="4:28" ht="17.25" customHeight="1">
      <c r="D17" s="771" t="s">
        <v>545</v>
      </c>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3"/>
    </row>
    <row r="18" spans="4:28" ht="13.5" customHeight="1" thickBot="1">
      <c r="D18" s="771" t="s">
        <v>500</v>
      </c>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3"/>
    </row>
    <row r="19" spans="4:28" ht="13.5" customHeight="1" thickBot="1">
      <c r="D19" s="1168" t="s">
        <v>390</v>
      </c>
      <c r="E19" s="1169"/>
      <c r="F19" s="1169"/>
      <c r="G19" s="1169"/>
      <c r="H19" s="1169"/>
      <c r="I19" s="1169"/>
      <c r="J19" s="1170"/>
      <c r="K19" s="776" t="s">
        <v>540</v>
      </c>
      <c r="L19" s="777"/>
      <c r="M19" s="774"/>
      <c r="N19" s="774"/>
      <c r="O19" s="774"/>
      <c r="P19" s="774"/>
      <c r="Q19" s="774"/>
      <c r="R19" s="774"/>
      <c r="S19" s="774"/>
      <c r="T19" s="774"/>
      <c r="U19" s="774"/>
      <c r="V19" s="774"/>
      <c r="W19" s="774"/>
      <c r="X19" s="774"/>
      <c r="Y19" s="774"/>
      <c r="Z19" s="774"/>
      <c r="AA19" s="774"/>
      <c r="AB19" s="775"/>
    </row>
    <row r="20" ht="6" customHeight="1"/>
    <row r="21" spans="3:28" ht="13.5" customHeight="1">
      <c r="C21" s="1172" t="s">
        <v>546</v>
      </c>
      <c r="D21" s="825" t="s">
        <v>547</v>
      </c>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row>
    <row r="22" spans="3:28" ht="13.5" customHeight="1">
      <c r="C22" s="1173"/>
      <c r="D22" s="826" t="s">
        <v>548</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row>
    <row r="23" spans="3:28" ht="13.5" customHeight="1">
      <c r="C23" s="1173"/>
      <c r="D23" s="826" t="s">
        <v>549</v>
      </c>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row>
    <row r="24" spans="3:28" ht="13.5" customHeight="1">
      <c r="C24" s="1173"/>
      <c r="D24" s="826" t="s">
        <v>550</v>
      </c>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row>
    <row r="25" spans="3:28" ht="13.5" customHeight="1">
      <c r="C25" s="1173"/>
      <c r="D25" s="826" t="s">
        <v>551</v>
      </c>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row>
    <row r="26" spans="3:28" ht="13.5" customHeight="1">
      <c r="C26" s="1173"/>
      <c r="D26" s="826" t="s">
        <v>552</v>
      </c>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row>
    <row r="27" spans="3:28" ht="13.5" customHeight="1">
      <c r="C27" s="1173"/>
      <c r="D27" s="826" t="s">
        <v>553</v>
      </c>
      <c r="E27" s="827"/>
      <c r="F27" s="827"/>
      <c r="G27" s="827"/>
      <c r="H27" s="827"/>
      <c r="I27" s="827"/>
      <c r="J27" s="827"/>
      <c r="K27" s="827"/>
      <c r="L27" s="827"/>
      <c r="M27" s="827"/>
      <c r="N27" s="1175" t="s">
        <v>734</v>
      </c>
      <c r="O27" s="1176"/>
      <c r="P27" s="1176"/>
      <c r="Q27" s="1176"/>
      <c r="R27" s="1176"/>
      <c r="S27" s="1176"/>
      <c r="T27" s="1176"/>
      <c r="U27" s="1176"/>
      <c r="V27" s="1177"/>
      <c r="W27" s="827"/>
      <c r="X27" s="827"/>
      <c r="Y27" s="827"/>
      <c r="Z27" s="827"/>
      <c r="AA27" s="827"/>
      <c r="AB27" s="827"/>
    </row>
    <row r="28" spans="3:28" ht="13.5" customHeight="1">
      <c r="C28" s="1173"/>
      <c r="D28" s="826"/>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row>
    <row r="29" spans="3:28" ht="13.5" customHeight="1">
      <c r="C29" s="1173"/>
      <c r="D29" s="825" t="s">
        <v>554</v>
      </c>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row>
    <row r="30" spans="3:28" ht="13.5" customHeight="1">
      <c r="C30" s="1173"/>
      <c r="D30" s="826" t="s">
        <v>555</v>
      </c>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row>
    <row r="31" spans="3:28" ht="13.5" customHeight="1">
      <c r="C31" s="1173"/>
      <c r="D31" s="826" t="s">
        <v>556</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row>
    <row r="32" spans="3:28" ht="13.5" customHeight="1">
      <c r="C32" s="1174"/>
      <c r="D32" s="826" t="s">
        <v>557</v>
      </c>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row>
    <row r="33" ht="6" customHeight="1"/>
    <row r="34" ht="6" customHeight="1"/>
    <row r="35" spans="3:28" ht="18" customHeight="1">
      <c r="C35" s="737" t="s">
        <v>391</v>
      </c>
      <c r="D35" s="738" t="s">
        <v>392</v>
      </c>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row>
    <row r="36" spans="3:28" ht="13.5" customHeight="1">
      <c r="C36" s="737"/>
      <c r="D36" s="780" t="s">
        <v>505</v>
      </c>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37"/>
    </row>
    <row r="37" spans="3:28" ht="13.5" customHeight="1">
      <c r="C37" s="737"/>
      <c r="D37" s="752" t="s">
        <v>506</v>
      </c>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37"/>
    </row>
    <row r="38" spans="3:28" ht="13.5" customHeight="1">
      <c r="C38" s="737"/>
      <c r="D38" s="752" t="s">
        <v>493</v>
      </c>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37"/>
    </row>
    <row r="39" spans="3:28" ht="13.5" customHeight="1">
      <c r="C39" s="737"/>
      <c r="D39" s="752" t="s">
        <v>494</v>
      </c>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37"/>
    </row>
    <row r="40" spans="3:28" ht="13.5" customHeight="1">
      <c r="C40" s="737"/>
      <c r="D40" s="752" t="s">
        <v>497</v>
      </c>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37"/>
    </row>
    <row r="41" spans="3:28" ht="13.5" customHeight="1">
      <c r="C41" s="737"/>
      <c r="D41" s="752" t="s">
        <v>495</v>
      </c>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37"/>
    </row>
    <row r="42" spans="3:28" ht="13.5" customHeight="1">
      <c r="C42" s="737"/>
      <c r="D42" s="752" t="s">
        <v>496</v>
      </c>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37"/>
    </row>
    <row r="43" spans="3:28" ht="6" customHeight="1">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row>
    <row r="44" spans="3:28" ht="13.5" customHeight="1">
      <c r="C44" s="737"/>
      <c r="D44" s="739" t="s">
        <v>433</v>
      </c>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7"/>
    </row>
    <row r="45" spans="3:32" ht="13.5" customHeight="1">
      <c r="C45" s="737"/>
      <c r="D45" s="752" t="s">
        <v>428</v>
      </c>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7"/>
      <c r="AF45" s="744"/>
    </row>
    <row r="46" spans="3:28" ht="13.5" customHeight="1">
      <c r="C46" s="737"/>
      <c r="D46" s="752" t="s">
        <v>429</v>
      </c>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7"/>
    </row>
    <row r="47" spans="3:28" ht="6" customHeight="1">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row>
    <row r="48" spans="3:28" ht="13.5" customHeight="1">
      <c r="C48" s="737"/>
      <c r="D48" s="739" t="s">
        <v>434</v>
      </c>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7"/>
    </row>
    <row r="49" spans="3:28" ht="12" customHeight="1">
      <c r="C49" s="737"/>
      <c r="D49" s="752" t="s">
        <v>430</v>
      </c>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7"/>
    </row>
    <row r="50" spans="3:28" ht="12" customHeight="1">
      <c r="C50" s="737"/>
      <c r="D50" s="752" t="s">
        <v>436</v>
      </c>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7"/>
    </row>
    <row r="51" spans="3:28" ht="6" customHeight="1">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row>
    <row r="52" spans="3:28" ht="13.5" customHeight="1">
      <c r="C52" s="737"/>
      <c r="D52" s="739" t="s">
        <v>435</v>
      </c>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7"/>
    </row>
    <row r="53" spans="3:28" ht="12" customHeight="1">
      <c r="C53" s="737"/>
      <c r="D53" s="752" t="s">
        <v>431</v>
      </c>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7"/>
    </row>
    <row r="54" spans="3:28" ht="12" customHeight="1">
      <c r="C54" s="737"/>
      <c r="D54" s="752" t="s">
        <v>432</v>
      </c>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7"/>
    </row>
    <row r="55" spans="3:28" ht="6" customHeight="1">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row>
    <row r="56" spans="2:4" s="733" customFormat="1" ht="12" customHeight="1">
      <c r="B56" s="759"/>
      <c r="D56" s="740" t="s">
        <v>393</v>
      </c>
    </row>
    <row r="57" spans="2:4" s="733" customFormat="1" ht="12" customHeight="1">
      <c r="B57" s="759"/>
      <c r="D57" s="740" t="s">
        <v>394</v>
      </c>
    </row>
    <row r="58" s="733" customFormat="1" ht="12" customHeight="1">
      <c r="B58" s="759"/>
    </row>
    <row r="59" spans="3:4" ht="18" customHeight="1">
      <c r="C59" s="725" t="s">
        <v>395</v>
      </c>
      <c r="D59" s="735" t="s">
        <v>501</v>
      </c>
    </row>
    <row r="60" ht="6" customHeight="1"/>
    <row r="61" spans="2:4" ht="18" customHeight="1">
      <c r="B61" s="764"/>
      <c r="C61" s="725" t="s">
        <v>396</v>
      </c>
      <c r="D61" s="741" t="s">
        <v>353</v>
      </c>
    </row>
    <row r="62" ht="6" customHeight="1">
      <c r="B62" s="764"/>
    </row>
    <row r="63" spans="2:5" ht="12" customHeight="1">
      <c r="B63" s="764"/>
      <c r="E63" s="744" t="s">
        <v>437</v>
      </c>
    </row>
    <row r="64" ht="12" customHeight="1">
      <c r="E64" s="725" t="s">
        <v>397</v>
      </c>
    </row>
    <row r="65" ht="6" customHeight="1"/>
    <row r="66" ht="12" customHeight="1">
      <c r="E66" s="744" t="s">
        <v>438</v>
      </c>
    </row>
    <row r="67" ht="12" customHeight="1">
      <c r="E67" s="744" t="s">
        <v>439</v>
      </c>
    </row>
    <row r="68" ht="12" customHeight="1">
      <c r="F68" s="742" t="s">
        <v>440</v>
      </c>
    </row>
    <row r="69" ht="6" customHeight="1"/>
    <row r="70" ht="12" customHeight="1">
      <c r="E70" s="744" t="s">
        <v>441</v>
      </c>
    </row>
    <row r="71" ht="12" customHeight="1">
      <c r="E71" s="744" t="s">
        <v>442</v>
      </c>
    </row>
    <row r="72" ht="12" customHeight="1">
      <c r="E72" s="744" t="s">
        <v>443</v>
      </c>
    </row>
    <row r="73" ht="12" customHeight="1">
      <c r="F73" s="742" t="s">
        <v>398</v>
      </c>
    </row>
    <row r="74" ht="6" customHeight="1"/>
    <row r="75" ht="12" customHeight="1">
      <c r="E75" s="744" t="s">
        <v>444</v>
      </c>
    </row>
    <row r="76" ht="12" customHeight="1">
      <c r="E76" s="744" t="s">
        <v>446</v>
      </c>
    </row>
    <row r="77" ht="12" customHeight="1">
      <c r="F77" s="742" t="s">
        <v>735</v>
      </c>
    </row>
    <row r="79" spans="2:28" ht="18" customHeight="1">
      <c r="B79" s="760"/>
      <c r="C79" s="725" t="s">
        <v>399</v>
      </c>
      <c r="D79" s="741" t="s">
        <v>445</v>
      </c>
      <c r="AB79" s="743"/>
    </row>
    <row r="80" ht="6" customHeight="1">
      <c r="B80" s="760"/>
    </row>
    <row r="81" spans="2:5" ht="12" customHeight="1">
      <c r="B81" s="760"/>
      <c r="E81" s="744" t="s">
        <v>447</v>
      </c>
    </row>
    <row r="82" ht="12" customHeight="1">
      <c r="E82" s="725" t="s">
        <v>448</v>
      </c>
    </row>
    <row r="83" ht="12" customHeight="1">
      <c r="E83" s="744" t="s">
        <v>507</v>
      </c>
    </row>
    <row r="84" ht="12" customHeight="1">
      <c r="E84" s="744" t="s">
        <v>449</v>
      </c>
    </row>
    <row r="85" ht="12" customHeight="1">
      <c r="E85" s="744" t="s">
        <v>450</v>
      </c>
    </row>
    <row r="86" ht="12" customHeight="1">
      <c r="E86" s="744" t="s">
        <v>451</v>
      </c>
    </row>
    <row r="87" spans="5:6" ht="12" customHeight="1">
      <c r="E87" s="744"/>
      <c r="F87" s="742" t="s">
        <v>402</v>
      </c>
    </row>
    <row r="88" ht="6" customHeight="1"/>
    <row r="89" ht="12" customHeight="1">
      <c r="E89" s="725" t="s">
        <v>403</v>
      </c>
    </row>
    <row r="90" ht="12" customHeight="1">
      <c r="E90" s="725" t="s">
        <v>404</v>
      </c>
    </row>
    <row r="91" ht="12" customHeight="1">
      <c r="E91" s="744" t="s">
        <v>508</v>
      </c>
    </row>
    <row r="92" ht="12" customHeight="1">
      <c r="E92" s="725" t="s">
        <v>405</v>
      </c>
    </row>
    <row r="93" ht="12" customHeight="1">
      <c r="E93" s="725" t="s">
        <v>406</v>
      </c>
    </row>
    <row r="94" ht="12" customHeight="1">
      <c r="F94" s="742" t="s">
        <v>407</v>
      </c>
    </row>
    <row r="95" ht="6" customHeight="1"/>
    <row r="96" ht="12" customHeight="1">
      <c r="E96" s="744" t="s">
        <v>452</v>
      </c>
    </row>
    <row r="97" ht="12" customHeight="1">
      <c r="E97" s="744" t="s">
        <v>512</v>
      </c>
    </row>
    <row r="98" spans="5:6" ht="12" customHeight="1">
      <c r="E98" s="744" t="s">
        <v>509</v>
      </c>
      <c r="F98" s="742"/>
    </row>
    <row r="99" spans="5:6" ht="12" customHeight="1">
      <c r="E99" s="744" t="s">
        <v>511</v>
      </c>
      <c r="F99" s="742"/>
    </row>
    <row r="100" spans="5:6" ht="12" customHeight="1">
      <c r="E100" s="744" t="s">
        <v>510</v>
      </c>
      <c r="F100" s="742"/>
    </row>
    <row r="101" ht="12" customHeight="1">
      <c r="F101" s="742" t="s">
        <v>453</v>
      </c>
    </row>
    <row r="103" spans="2:12" ht="18" customHeight="1">
      <c r="B103" s="760"/>
      <c r="C103" s="725" t="s">
        <v>401</v>
      </c>
      <c r="D103" s="741" t="s">
        <v>454</v>
      </c>
      <c r="J103" s="1171"/>
      <c r="K103" s="1171"/>
      <c r="L103" s="1171"/>
    </row>
    <row r="104" ht="6" customHeight="1">
      <c r="B104" s="760"/>
    </row>
    <row r="105" spans="2:5" ht="12" customHeight="1">
      <c r="B105" s="760"/>
      <c r="E105" s="744" t="s">
        <v>513</v>
      </c>
    </row>
    <row r="106" ht="12" customHeight="1">
      <c r="E106" s="744" t="s">
        <v>514</v>
      </c>
    </row>
    <row r="107" spans="2:9" s="733" customFormat="1" ht="6" customHeight="1">
      <c r="B107" s="759"/>
      <c r="D107" s="734"/>
      <c r="E107" s="734"/>
      <c r="F107" s="734"/>
      <c r="G107" s="734"/>
      <c r="H107" s="734"/>
      <c r="I107" s="734"/>
    </row>
    <row r="108" ht="12" customHeight="1">
      <c r="E108" s="744" t="s">
        <v>455</v>
      </c>
    </row>
    <row r="109" ht="12" customHeight="1">
      <c r="E109" s="744" t="s">
        <v>456</v>
      </c>
    </row>
    <row r="110" ht="12" customHeight="1">
      <c r="E110" s="744" t="s">
        <v>515</v>
      </c>
    </row>
    <row r="112" spans="2:12" ht="18" customHeight="1">
      <c r="B112" s="760"/>
      <c r="C112" s="744" t="s">
        <v>408</v>
      </c>
      <c r="D112" s="741" t="s">
        <v>457</v>
      </c>
      <c r="J112" s="1171"/>
      <c r="K112" s="1171"/>
      <c r="L112" s="1171"/>
    </row>
    <row r="113" ht="6" customHeight="1">
      <c r="B113" s="760"/>
    </row>
    <row r="114" spans="2:5" ht="12" customHeight="1">
      <c r="B114" s="760"/>
      <c r="E114" s="744" t="s">
        <v>458</v>
      </c>
    </row>
    <row r="115" spans="5:6" ht="12" customHeight="1">
      <c r="E115" s="744" t="s">
        <v>459</v>
      </c>
      <c r="F115" s="742"/>
    </row>
    <row r="116" spans="5:6" ht="12" customHeight="1">
      <c r="E116" s="744" t="s">
        <v>460</v>
      </c>
      <c r="F116" s="742"/>
    </row>
    <row r="117" spans="5:6" ht="12" customHeight="1">
      <c r="E117" s="744" t="s">
        <v>461</v>
      </c>
      <c r="F117" s="742"/>
    </row>
    <row r="118" spans="5:6" ht="12" customHeight="1">
      <c r="E118" s="744" t="s">
        <v>516</v>
      </c>
      <c r="F118" s="742"/>
    </row>
    <row r="119" spans="5:6" ht="12" customHeight="1">
      <c r="E119" s="744" t="s">
        <v>517</v>
      </c>
      <c r="F119" s="742"/>
    </row>
    <row r="120" spans="5:6" ht="12" customHeight="1">
      <c r="E120" s="744" t="s">
        <v>518</v>
      </c>
      <c r="F120" s="742"/>
    </row>
    <row r="121" spans="5:6" ht="12" customHeight="1">
      <c r="E121" s="744" t="s">
        <v>519</v>
      </c>
      <c r="F121" s="742"/>
    </row>
    <row r="122" spans="5:6" ht="12" customHeight="1">
      <c r="E122" s="744"/>
      <c r="F122" s="742" t="s">
        <v>462</v>
      </c>
    </row>
    <row r="123" ht="6" customHeight="1"/>
    <row r="124" spans="2:5" ht="12" customHeight="1">
      <c r="B124" s="760"/>
      <c r="E124" s="744" t="s">
        <v>520</v>
      </c>
    </row>
    <row r="125" spans="5:6" ht="12" customHeight="1">
      <c r="E125" s="744" t="s">
        <v>521</v>
      </c>
      <c r="F125" s="742"/>
    </row>
    <row r="126" ht="6" customHeight="1"/>
    <row r="127" spans="2:5" ht="12" customHeight="1">
      <c r="B127" s="760"/>
      <c r="E127" s="744" t="s">
        <v>522</v>
      </c>
    </row>
    <row r="128" spans="5:6" ht="12" customHeight="1">
      <c r="E128" s="744" t="s">
        <v>463</v>
      </c>
      <c r="F128" s="742"/>
    </row>
    <row r="129" spans="5:6" ht="12" customHeight="1">
      <c r="E129" s="744" t="s">
        <v>464</v>
      </c>
      <c r="F129" s="742"/>
    </row>
    <row r="130" spans="5:6" ht="12" customHeight="1">
      <c r="E130" s="744" t="s">
        <v>465</v>
      </c>
      <c r="F130" s="742"/>
    </row>
    <row r="131" ht="6" customHeight="1"/>
    <row r="132" ht="12" customHeight="1">
      <c r="E132" s="744" t="s">
        <v>466</v>
      </c>
    </row>
    <row r="133" ht="12" customHeight="1">
      <c r="E133" s="725" t="s">
        <v>467</v>
      </c>
    </row>
    <row r="135" spans="3:4" ht="18" customHeight="1">
      <c r="C135" s="725" t="s">
        <v>409</v>
      </c>
      <c r="D135" s="741" t="s">
        <v>523</v>
      </c>
    </row>
    <row r="136" ht="6" customHeight="1"/>
    <row r="137" spans="2:5" ht="12" customHeight="1">
      <c r="B137" s="760"/>
      <c r="E137" s="725" t="s">
        <v>468</v>
      </c>
    </row>
    <row r="138" ht="12" customHeight="1">
      <c r="E138" s="744" t="s">
        <v>524</v>
      </c>
    </row>
    <row r="139" ht="12" customHeight="1">
      <c r="E139" s="744" t="s">
        <v>525</v>
      </c>
    </row>
    <row r="140" ht="12" customHeight="1">
      <c r="E140" s="744" t="s">
        <v>526</v>
      </c>
    </row>
    <row r="141" ht="12" customHeight="1">
      <c r="E141" s="744" t="s">
        <v>527</v>
      </c>
    </row>
    <row r="142" ht="12" customHeight="1">
      <c r="E142" s="744" t="s">
        <v>528</v>
      </c>
    </row>
    <row r="143" ht="12" customHeight="1">
      <c r="E143" s="744" t="s">
        <v>529</v>
      </c>
    </row>
    <row r="144" ht="12" customHeight="1">
      <c r="E144" s="744" t="s">
        <v>530</v>
      </c>
    </row>
    <row r="146" spans="3:4" ht="18" customHeight="1">
      <c r="C146" s="746" t="s">
        <v>410</v>
      </c>
      <c r="D146" s="747" t="s">
        <v>360</v>
      </c>
    </row>
    <row r="147" ht="6" customHeight="1"/>
    <row r="148" spans="2:5" ht="12" customHeight="1">
      <c r="B148" s="760"/>
      <c r="C148" s="745"/>
      <c r="E148" s="744" t="s">
        <v>469</v>
      </c>
    </row>
    <row r="149" spans="2:32" ht="12" customHeight="1">
      <c r="B149" s="760"/>
      <c r="E149" s="725" t="s">
        <v>470</v>
      </c>
      <c r="AF149" s="765"/>
    </row>
    <row r="150" ht="6" customHeight="1"/>
    <row r="151" spans="2:32" ht="12" customHeight="1">
      <c r="B151" s="760"/>
      <c r="F151" s="744" t="s">
        <v>471</v>
      </c>
      <c r="AF151" s="765"/>
    </row>
    <row r="152" spans="2:32" ht="12" customHeight="1">
      <c r="B152" s="760"/>
      <c r="F152" s="761" t="s">
        <v>477</v>
      </c>
      <c r="I152" s="736" t="s">
        <v>479</v>
      </c>
      <c r="AF152" s="765"/>
    </row>
    <row r="153" spans="2:27" ht="12" customHeight="1">
      <c r="B153" s="760"/>
      <c r="F153" s="762" t="s">
        <v>478</v>
      </c>
      <c r="G153" s="763"/>
      <c r="H153" s="763"/>
      <c r="I153" s="762" t="s">
        <v>480</v>
      </c>
      <c r="J153" s="763"/>
      <c r="K153" s="763"/>
      <c r="L153" s="763"/>
      <c r="M153" s="763"/>
      <c r="N153" s="763"/>
      <c r="O153" s="763"/>
      <c r="P153" s="763"/>
      <c r="Q153" s="763"/>
      <c r="R153" s="763"/>
      <c r="S153" s="763"/>
      <c r="T153" s="763"/>
      <c r="U153" s="763"/>
      <c r="V153" s="763"/>
      <c r="W153" s="763"/>
      <c r="X153" s="763"/>
      <c r="Y153" s="763"/>
      <c r="Z153" s="763"/>
      <c r="AA153" s="763"/>
    </row>
    <row r="154" spans="2:6" ht="12" customHeight="1">
      <c r="B154" s="760"/>
      <c r="F154" s="761" t="s">
        <v>474</v>
      </c>
    </row>
    <row r="155" spans="2:27" ht="12" customHeight="1">
      <c r="B155" s="760"/>
      <c r="F155" s="928" t="s">
        <v>482</v>
      </c>
      <c r="G155" s="929"/>
      <c r="H155" s="929"/>
      <c r="I155" s="929"/>
      <c r="J155" s="929"/>
      <c r="K155" s="929"/>
      <c r="L155" s="929"/>
      <c r="M155" s="929"/>
      <c r="N155" s="929"/>
      <c r="O155" s="929"/>
      <c r="P155" s="929"/>
      <c r="Q155" s="929"/>
      <c r="R155" s="929"/>
      <c r="S155" s="929"/>
      <c r="T155" s="929"/>
      <c r="U155" s="929"/>
      <c r="V155" s="929"/>
      <c r="W155" s="929"/>
      <c r="X155" s="929"/>
      <c r="Y155" s="929"/>
      <c r="Z155" s="929"/>
      <c r="AA155" s="929"/>
    </row>
    <row r="156" spans="2:27" ht="4.5" customHeight="1">
      <c r="B156" s="760"/>
      <c r="F156" s="928"/>
      <c r="G156" s="929"/>
      <c r="H156" s="929"/>
      <c r="I156" s="929"/>
      <c r="J156" s="929"/>
      <c r="K156" s="929"/>
      <c r="L156" s="929"/>
      <c r="M156" s="929"/>
      <c r="N156" s="929"/>
      <c r="O156" s="929"/>
      <c r="P156" s="929"/>
      <c r="Q156" s="929"/>
      <c r="R156" s="929"/>
      <c r="S156" s="929"/>
      <c r="T156" s="929"/>
      <c r="U156" s="929"/>
      <c r="V156" s="929"/>
      <c r="W156" s="929"/>
      <c r="X156" s="929"/>
      <c r="Y156" s="929"/>
      <c r="Z156" s="929"/>
      <c r="AA156" s="929"/>
    </row>
    <row r="157" spans="2:27" ht="12" customHeight="1">
      <c r="B157" s="760"/>
      <c r="F157" s="933" t="s">
        <v>737</v>
      </c>
      <c r="G157" s="929"/>
      <c r="H157" s="929"/>
      <c r="I157" s="929"/>
      <c r="J157" s="929"/>
      <c r="K157" s="929"/>
      <c r="L157" s="929"/>
      <c r="M157" s="929"/>
      <c r="N157" s="929"/>
      <c r="O157" s="929"/>
      <c r="P157" s="929"/>
      <c r="Q157" s="931"/>
      <c r="R157" s="929"/>
      <c r="S157" s="929"/>
      <c r="T157" s="931" t="s">
        <v>736</v>
      </c>
      <c r="U157" s="929"/>
      <c r="V157" s="929"/>
      <c r="W157" s="929"/>
      <c r="X157" s="929"/>
      <c r="Y157" s="929"/>
      <c r="Z157" s="929"/>
      <c r="AA157" s="929"/>
    </row>
    <row r="158" spans="2:27" ht="4.5" customHeight="1">
      <c r="B158" s="760"/>
      <c r="F158" s="930"/>
      <c r="G158" s="763"/>
      <c r="H158" s="763"/>
      <c r="I158" s="763"/>
      <c r="J158" s="763"/>
      <c r="K158" s="763"/>
      <c r="L158" s="763"/>
      <c r="M158" s="763"/>
      <c r="N158" s="763"/>
      <c r="O158" s="763"/>
      <c r="P158" s="763"/>
      <c r="Q158" s="763"/>
      <c r="R158" s="763"/>
      <c r="S158" s="763"/>
      <c r="T158" s="763"/>
      <c r="U158" s="763"/>
      <c r="V158" s="763"/>
      <c r="W158" s="763"/>
      <c r="X158" s="763"/>
      <c r="Y158" s="763"/>
      <c r="Z158" s="763"/>
      <c r="AA158" s="763"/>
    </row>
    <row r="159" spans="2:6" ht="12" customHeight="1">
      <c r="B159" s="760"/>
      <c r="F159" s="761" t="s">
        <v>481</v>
      </c>
    </row>
    <row r="160" ht="12" customHeight="1">
      <c r="B160" s="760"/>
    </row>
    <row r="161" spans="2:5" ht="12" customHeight="1">
      <c r="B161" s="760"/>
      <c r="C161" s="745"/>
      <c r="E161" s="744" t="s">
        <v>531</v>
      </c>
    </row>
    <row r="162" spans="2:5" ht="12" customHeight="1">
      <c r="B162" s="760"/>
      <c r="E162" s="744" t="s">
        <v>485</v>
      </c>
    </row>
    <row r="163" spans="2:5" ht="12" customHeight="1">
      <c r="B163" s="760"/>
      <c r="E163" s="744" t="s">
        <v>483</v>
      </c>
    </row>
    <row r="164" ht="12" customHeight="1">
      <c r="E164" s="744" t="s">
        <v>484</v>
      </c>
    </row>
    <row r="165" spans="5:20" ht="12" customHeight="1">
      <c r="E165" s="932" t="s">
        <v>738</v>
      </c>
      <c r="F165" s="932"/>
      <c r="G165" s="932"/>
      <c r="T165" s="931" t="s">
        <v>736</v>
      </c>
    </row>
    <row r="166" spans="5:7" ht="12" customHeight="1">
      <c r="E166" s="932" t="s">
        <v>739</v>
      </c>
      <c r="F166" s="932"/>
      <c r="G166" s="932"/>
    </row>
    <row r="168" spans="3:4" ht="18" customHeight="1">
      <c r="C168" s="746" t="s">
        <v>411</v>
      </c>
      <c r="D168" s="747" t="s">
        <v>532</v>
      </c>
    </row>
    <row r="169" ht="6" customHeight="1"/>
    <row r="170" spans="2:5" ht="12" customHeight="1">
      <c r="B170" s="760"/>
      <c r="C170" s="745"/>
      <c r="E170" s="744" t="s">
        <v>486</v>
      </c>
    </row>
    <row r="171" spans="2:5" ht="12" customHeight="1">
      <c r="B171" s="760"/>
      <c r="E171" s="744" t="s">
        <v>533</v>
      </c>
    </row>
    <row r="172" spans="2:5" ht="12" customHeight="1">
      <c r="B172" s="760"/>
      <c r="E172" s="744" t="s">
        <v>487</v>
      </c>
    </row>
    <row r="173" ht="6" customHeight="1">
      <c r="E173" s="725" t="s">
        <v>400</v>
      </c>
    </row>
    <row r="174" spans="2:5" ht="12" customHeight="1">
      <c r="B174" s="760"/>
      <c r="C174" s="745"/>
      <c r="E174" s="744" t="s">
        <v>488</v>
      </c>
    </row>
    <row r="175" ht="12" customHeight="1">
      <c r="E175" s="744" t="s">
        <v>740</v>
      </c>
    </row>
    <row r="176" ht="12" customHeight="1">
      <c r="E176" s="744" t="s">
        <v>489</v>
      </c>
    </row>
    <row r="177" ht="12" customHeight="1">
      <c r="E177" s="744" t="s">
        <v>492</v>
      </c>
    </row>
    <row r="178" ht="12" customHeight="1">
      <c r="E178" s="744" t="s">
        <v>490</v>
      </c>
    </row>
    <row r="179" ht="12" customHeight="1">
      <c r="F179" s="742" t="s">
        <v>491</v>
      </c>
    </row>
    <row r="180" ht="12" customHeight="1">
      <c r="A180" s="748"/>
    </row>
    <row r="181" ht="4.5" customHeight="1">
      <c r="A181" s="748"/>
    </row>
    <row r="182" spans="1:4" ht="13.5" customHeight="1">
      <c r="A182" s="748"/>
      <c r="D182" s="749" t="s">
        <v>412</v>
      </c>
    </row>
    <row r="183" spans="1:4" ht="13.5" customHeight="1">
      <c r="A183" s="748"/>
      <c r="D183" s="750" t="s">
        <v>413</v>
      </c>
    </row>
    <row r="184" spans="1:8" ht="13.5" customHeight="1">
      <c r="A184" s="748"/>
      <c r="D184" s="750" t="s">
        <v>414</v>
      </c>
      <c r="H184" s="750"/>
    </row>
    <row r="185" spans="1:4" ht="13.5" customHeight="1">
      <c r="A185" s="748"/>
      <c r="D185" s="750" t="s">
        <v>415</v>
      </c>
    </row>
    <row r="186" spans="1:4" ht="10.5" customHeight="1">
      <c r="A186" s="748"/>
      <c r="D186" s="749" t="s">
        <v>416</v>
      </c>
    </row>
    <row r="187" ht="6" customHeight="1"/>
    <row r="188" spans="1:4" ht="13.5" customHeight="1">
      <c r="A188" s="748"/>
      <c r="D188" s="750" t="s">
        <v>417</v>
      </c>
    </row>
    <row r="189" ht="6" customHeight="1"/>
    <row r="190" spans="1:4" ht="13.5" customHeight="1">
      <c r="A190" s="748"/>
      <c r="D190" s="750" t="s">
        <v>741</v>
      </c>
    </row>
    <row r="191" spans="1:4" ht="13.5" customHeight="1">
      <c r="A191" s="748"/>
      <c r="D191" s="750" t="s">
        <v>418</v>
      </c>
    </row>
    <row r="192" spans="1:4" ht="13.5" customHeight="1">
      <c r="A192" s="748"/>
      <c r="D192" s="750" t="s">
        <v>419</v>
      </c>
    </row>
    <row r="193" spans="1:4" ht="13.5" customHeight="1">
      <c r="A193" s="748"/>
      <c r="D193" s="750" t="s">
        <v>420</v>
      </c>
    </row>
    <row r="194" spans="1:4" ht="13.5" customHeight="1">
      <c r="A194" s="748"/>
      <c r="D194" s="750" t="s">
        <v>421</v>
      </c>
    </row>
    <row r="195" spans="1:4" ht="13.5" customHeight="1">
      <c r="A195" s="748"/>
      <c r="D195" s="750" t="s">
        <v>422</v>
      </c>
    </row>
    <row r="196" ht="6" customHeight="1"/>
    <row r="197" spans="1:4" ht="13.5" customHeight="1">
      <c r="A197" s="748"/>
      <c r="D197" s="750" t="s">
        <v>498</v>
      </c>
    </row>
    <row r="198" spans="1:4" ht="13.5" customHeight="1">
      <c r="A198" s="748"/>
      <c r="D198" s="749" t="s">
        <v>423</v>
      </c>
    </row>
    <row r="199" spans="1:27" ht="13.5" customHeight="1">
      <c r="A199" s="748"/>
      <c r="D199" s="751" t="s">
        <v>424</v>
      </c>
      <c r="AA199" s="733"/>
    </row>
  </sheetData>
  <sheetProtection password="F30F" sheet="1"/>
  <mergeCells count="6">
    <mergeCell ref="M3:S6"/>
    <mergeCell ref="D19:J19"/>
    <mergeCell ref="J103:L103"/>
    <mergeCell ref="J112:L112"/>
    <mergeCell ref="C21:C32"/>
    <mergeCell ref="N27:V27"/>
  </mergeCells>
  <hyperlinks>
    <hyperlink ref="D19" r:id="rId1" display="www.lel-bw.de"/>
    <hyperlink ref="M3:S6" location="Kalkulation_Eigenstrom!A1" display="Kalkulation_Eigenstrom!A1"/>
    <hyperlink ref="N27:V27" location="Aktueller_Stand_EEG_2014!A1" display="hier klicken um mehr zu erfahren ..."/>
  </hyperlinks>
  <printOptions horizontalCentered="1"/>
  <pageMargins left="0.5905511811023623" right="0.1968503937007874" top="0.7874015748031497" bottom="0.984251968503937" header="0.31496062992125984" footer="0.11811023622047245"/>
  <pageSetup horizontalDpi="600" verticalDpi="600" orientation="portrait" paperSize="9" scale="81" r:id="rId3"/>
  <headerFooter alignWithMargins="0">
    <oddHeader>&amp;RSeite &amp;P</oddHeader>
    <oddFooter>&amp;L&amp;8(c) WS&amp;C&amp;8&amp;F&amp;R&amp;8Stand: Juli 2012</oddFooter>
  </headerFooter>
  <rowBreaks count="2" manualBreakCount="2">
    <brk id="58" min="2" max="27" man="1"/>
    <brk id="133" min="2" max="2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BD167"/>
  <sheetViews>
    <sheetView zoomScale="80" zoomScaleNormal="80" zoomScalePageLayoutView="0" workbookViewId="0" topLeftCell="A1">
      <pane xSplit="5" ySplit="14" topLeftCell="G21" activePane="bottomRight" state="frozen"/>
      <selection pane="topLeft" activeCell="A1" sqref="A1"/>
      <selection pane="topRight" activeCell="F1" sqref="F1"/>
      <selection pane="bottomLeft" activeCell="A28" sqref="A28"/>
      <selection pane="bottomRight" activeCell="Q19" sqref="Q19:U20"/>
    </sheetView>
  </sheetViews>
  <sheetFormatPr defaultColWidth="11.421875" defaultRowHeight="12.75"/>
  <cols>
    <col min="1" max="1" width="1.7109375" style="11" customWidth="1"/>
    <col min="2" max="3" width="4.28125" style="11" customWidth="1"/>
    <col min="4" max="4" width="1.7109375" style="11" customWidth="1"/>
    <col min="5" max="5" width="2.7109375" style="787" customWidth="1"/>
    <col min="6" max="6" width="10.7109375" style="787" hidden="1" customWidth="1"/>
    <col min="7" max="7" width="2.7109375" style="11" customWidth="1"/>
    <col min="8" max="8" width="1.7109375" style="11" customWidth="1"/>
    <col min="9" max="9" width="3.7109375" style="11" customWidth="1"/>
    <col min="10" max="11" width="5.7109375" style="11" customWidth="1"/>
    <col min="12" max="12" width="3.7109375" style="11" customWidth="1"/>
    <col min="13" max="14" width="5.7109375" style="11" customWidth="1"/>
    <col min="15" max="15" width="4.7109375" style="11" customWidth="1"/>
    <col min="16" max="16" width="3.7109375" style="11" customWidth="1"/>
    <col min="17" max="17" width="5.7109375" style="11" customWidth="1"/>
    <col min="18" max="19" width="3.7109375" style="11" customWidth="1"/>
    <col min="20" max="21" width="5.7109375" style="11" customWidth="1"/>
    <col min="22" max="25" width="1.7109375" style="11" customWidth="1"/>
    <col min="26" max="38" width="5.7109375" style="11" customWidth="1"/>
    <col min="39" max="39" width="1.7109375" style="11" customWidth="1"/>
    <col min="40" max="40" width="4.7109375" style="11" customWidth="1"/>
    <col min="41" max="41" width="20.7109375" style="11" customWidth="1"/>
    <col min="42" max="56" width="4.7109375" style="11" customWidth="1"/>
    <col min="57" max="16384" width="11.421875" style="11" customWidth="1"/>
  </cols>
  <sheetData>
    <row r="1" spans="1:56" s="7" customFormat="1" ht="2.25" customHeight="1">
      <c r="A1" s="495"/>
      <c r="B1" s="495"/>
      <c r="C1" s="495"/>
      <c r="D1" s="495"/>
      <c r="E1" s="784"/>
      <c r="F1" s="78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row>
    <row r="2" spans="1:56" s="7" customFormat="1" ht="9.75" customHeight="1">
      <c r="A2" s="495"/>
      <c r="B2" s="1072" t="s">
        <v>341</v>
      </c>
      <c r="C2" s="1072"/>
      <c r="D2" s="495"/>
      <c r="E2" s="784"/>
      <c r="F2" s="78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row>
    <row r="3" spans="1:56" s="7" customFormat="1" ht="2.25" customHeight="1">
      <c r="A3" s="495"/>
      <c r="B3" s="1072"/>
      <c r="C3" s="1072"/>
      <c r="D3" s="495"/>
      <c r="E3" s="784"/>
      <c r="F3" s="78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row>
    <row r="4" spans="1:56" s="7" customFormat="1" ht="2.25" customHeight="1">
      <c r="A4" s="495"/>
      <c r="B4" s="1072"/>
      <c r="C4" s="1072"/>
      <c r="D4" s="495"/>
      <c r="E4" s="784"/>
      <c r="F4" s="78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row>
    <row r="5" spans="1:56" s="7" customFormat="1" ht="11.25" customHeight="1">
      <c r="A5" s="495"/>
      <c r="B5" s="1072"/>
      <c r="C5" s="1072"/>
      <c r="D5" s="495"/>
      <c r="E5" s="784"/>
      <c r="F5" s="784"/>
      <c r="G5" s="544"/>
      <c r="H5" s="1296" t="str">
        <f>Kalkulation_Eigenstrom!G5</f>
        <v>bitte Projekt eintragen …</v>
      </c>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723"/>
      <c r="AG5" s="723"/>
      <c r="AH5" s="1182" t="str">
        <f>Kalkulation_Eigenstrom!CY4</f>
        <v>31. Juli 2014; Vers. 2.1
© Werner Schmid</v>
      </c>
      <c r="AI5" s="1182"/>
      <c r="AJ5" s="1182"/>
      <c r="AK5" s="1182"/>
      <c r="AL5" s="1182"/>
      <c r="AM5" s="1182"/>
      <c r="AN5" s="544"/>
      <c r="AO5" s="544"/>
      <c r="AP5" s="544"/>
      <c r="AQ5" s="544"/>
      <c r="AR5" s="544"/>
      <c r="AS5" s="544"/>
      <c r="AT5" s="544"/>
      <c r="AU5" s="544"/>
      <c r="AV5" s="544"/>
      <c r="AW5" s="544"/>
      <c r="AX5" s="544"/>
      <c r="AY5" s="544"/>
      <c r="AZ5" s="544"/>
      <c r="BA5" s="544"/>
      <c r="BB5" s="544"/>
      <c r="BC5" s="544"/>
      <c r="BD5" s="544"/>
    </row>
    <row r="6" spans="1:56" s="7" customFormat="1" ht="2.25" customHeight="1">
      <c r="A6" s="495"/>
      <c r="B6" s="1072"/>
      <c r="C6" s="1072"/>
      <c r="D6" s="495"/>
      <c r="E6" s="784"/>
      <c r="F6" s="784"/>
      <c r="G6" s="544"/>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723"/>
      <c r="AG6" s="723"/>
      <c r="AH6" s="1182"/>
      <c r="AI6" s="1182"/>
      <c r="AJ6" s="1182"/>
      <c r="AK6" s="1182"/>
      <c r="AL6" s="1182"/>
      <c r="AM6" s="1182"/>
      <c r="AN6" s="544"/>
      <c r="AO6" s="544"/>
      <c r="AP6" s="544"/>
      <c r="AQ6" s="544"/>
      <c r="AR6" s="544"/>
      <c r="AS6" s="544"/>
      <c r="AT6" s="544"/>
      <c r="AU6" s="544"/>
      <c r="AV6" s="544"/>
      <c r="AW6" s="544"/>
      <c r="AX6" s="544"/>
      <c r="AY6" s="544"/>
      <c r="AZ6" s="544"/>
      <c r="BA6" s="544"/>
      <c r="BB6" s="544"/>
      <c r="BC6" s="544"/>
      <c r="BD6" s="544"/>
    </row>
    <row r="7" spans="1:56" s="7" customFormat="1" ht="11.25" customHeight="1">
      <c r="A7" s="495"/>
      <c r="B7" s="1072"/>
      <c r="C7" s="1072"/>
      <c r="D7" s="495"/>
      <c r="E7" s="784"/>
      <c r="F7" s="784"/>
      <c r="G7" s="544"/>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724"/>
      <c r="AG7" s="724"/>
      <c r="AH7" s="1183"/>
      <c r="AI7" s="1183"/>
      <c r="AJ7" s="1183"/>
      <c r="AK7" s="1183"/>
      <c r="AL7" s="1183"/>
      <c r="AM7" s="1183"/>
      <c r="AN7" s="544"/>
      <c r="AO7" s="544"/>
      <c r="AP7" s="544"/>
      <c r="AQ7" s="544"/>
      <c r="AR7" s="544"/>
      <c r="AS7" s="544"/>
      <c r="AT7" s="544"/>
      <c r="AU7" s="544"/>
      <c r="AV7" s="544"/>
      <c r="AW7" s="544"/>
      <c r="AX7" s="544"/>
      <c r="AY7" s="544"/>
      <c r="AZ7" s="544"/>
      <c r="BA7" s="544"/>
      <c r="BB7" s="544"/>
      <c r="BC7" s="544"/>
      <c r="BD7" s="544"/>
    </row>
    <row r="8" spans="1:56" s="7" customFormat="1" ht="2.25" customHeight="1">
      <c r="A8" s="495"/>
      <c r="B8" s="499"/>
      <c r="C8" s="499"/>
      <c r="D8" s="495"/>
      <c r="E8" s="784"/>
      <c r="F8" s="784"/>
      <c r="G8" s="544"/>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544"/>
      <c r="AO8" s="544"/>
      <c r="AP8" s="544"/>
      <c r="AQ8" s="544"/>
      <c r="AR8" s="544"/>
      <c r="AS8" s="544"/>
      <c r="AT8" s="544"/>
      <c r="AU8" s="544"/>
      <c r="AV8" s="544"/>
      <c r="AW8" s="544"/>
      <c r="AX8" s="544"/>
      <c r="AY8" s="544"/>
      <c r="AZ8" s="544"/>
      <c r="BA8" s="544"/>
      <c r="BB8" s="544"/>
      <c r="BC8" s="544"/>
      <c r="BD8" s="544"/>
    </row>
    <row r="9" spans="1:56" s="7" customFormat="1" ht="24.75" customHeight="1">
      <c r="A9" s="1073" t="s">
        <v>369</v>
      </c>
      <c r="B9" s="1073"/>
      <c r="C9" s="1073"/>
      <c r="D9" s="1073"/>
      <c r="E9" s="784"/>
      <c r="F9" s="784"/>
      <c r="G9" s="544"/>
      <c r="H9" s="822"/>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2"/>
      <c r="AN9" s="544"/>
      <c r="AO9" s="544"/>
      <c r="AP9" s="544"/>
      <c r="AQ9" s="544"/>
      <c r="AR9" s="544"/>
      <c r="AS9" s="544"/>
      <c r="AT9" s="544"/>
      <c r="AU9" s="544"/>
      <c r="AV9" s="544"/>
      <c r="AW9" s="544"/>
      <c r="AX9" s="544"/>
      <c r="AY9" s="544"/>
      <c r="AZ9" s="544"/>
      <c r="BA9" s="544"/>
      <c r="BB9" s="544"/>
      <c r="BC9" s="544"/>
      <c r="BD9" s="544"/>
    </row>
    <row r="10" spans="1:56" s="7" customFormat="1" ht="24.75" customHeight="1">
      <c r="A10" s="597"/>
      <c r="B10" s="597"/>
      <c r="C10" s="597"/>
      <c r="D10" s="597"/>
      <c r="E10" s="784"/>
      <c r="F10" s="784"/>
      <c r="G10" s="544"/>
      <c r="H10" s="822"/>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2"/>
      <c r="AN10" s="544"/>
      <c r="AO10" s="544"/>
      <c r="AP10" s="544"/>
      <c r="AQ10" s="544"/>
      <c r="AR10" s="544"/>
      <c r="AS10" s="544"/>
      <c r="AT10" s="544"/>
      <c r="AU10" s="544"/>
      <c r="AV10" s="544"/>
      <c r="AW10" s="544"/>
      <c r="AX10" s="544"/>
      <c r="AY10" s="544"/>
      <c r="AZ10" s="544"/>
      <c r="BA10" s="544"/>
      <c r="BB10" s="544"/>
      <c r="BC10" s="544"/>
      <c r="BD10" s="544"/>
    </row>
    <row r="11" spans="1:56" s="7" customFormat="1" ht="24.75" customHeight="1">
      <c r="A11" s="495"/>
      <c r="B11" s="497"/>
      <c r="C11" s="496"/>
      <c r="D11" s="495"/>
      <c r="E11" s="784"/>
      <c r="F11" s="784"/>
      <c r="G11" s="544"/>
      <c r="H11" s="822"/>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2"/>
      <c r="AN11" s="544"/>
      <c r="AO11" s="544"/>
      <c r="AP11" s="544"/>
      <c r="AQ11" s="544"/>
      <c r="AR11" s="544"/>
      <c r="AS11" s="544"/>
      <c r="AT11" s="544"/>
      <c r="AU11" s="544"/>
      <c r="AV11" s="544"/>
      <c r="AW11" s="544"/>
      <c r="AX11" s="544"/>
      <c r="AY11" s="544"/>
      <c r="AZ11" s="544"/>
      <c r="BA11" s="544"/>
      <c r="BB11" s="544"/>
      <c r="BC11" s="544"/>
      <c r="BD11" s="544"/>
    </row>
    <row r="12" spans="1:56" s="7" customFormat="1" ht="24.75" customHeight="1" thickBot="1">
      <c r="A12" s="495"/>
      <c r="B12" s="497"/>
      <c r="C12" s="496"/>
      <c r="D12" s="495"/>
      <c r="E12" s="784"/>
      <c r="F12" s="784"/>
      <c r="G12" s="544"/>
      <c r="H12" s="822"/>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2"/>
      <c r="AN12" s="544"/>
      <c r="AO12" s="544"/>
      <c r="AP12" s="544"/>
      <c r="AQ12" s="544"/>
      <c r="AR12" s="544"/>
      <c r="AS12" s="544"/>
      <c r="AT12" s="544"/>
      <c r="AU12" s="544"/>
      <c r="AV12" s="544"/>
      <c r="AW12" s="544"/>
      <c r="AX12" s="544"/>
      <c r="AY12" s="544"/>
      <c r="AZ12" s="544"/>
      <c r="BA12" s="544"/>
      <c r="BB12" s="544"/>
      <c r="BC12" s="544"/>
      <c r="BD12" s="544"/>
    </row>
    <row r="13" spans="1:56" s="7" customFormat="1" ht="24.75" customHeight="1" thickTop="1">
      <c r="A13" s="495"/>
      <c r="B13" s="1076" t="s">
        <v>342</v>
      </c>
      <c r="C13" s="1077"/>
      <c r="D13" s="495"/>
      <c r="E13" s="785">
        <f>Kalkulation_Eigenstrom!E23</f>
        <v>1</v>
      </c>
      <c r="F13" s="785"/>
      <c r="G13" s="544"/>
      <c r="H13" s="822"/>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2"/>
      <c r="AN13" s="544"/>
      <c r="AO13" s="544"/>
      <c r="AP13" s="544"/>
      <c r="AQ13" s="544"/>
      <c r="AR13" s="544"/>
      <c r="AS13" s="544"/>
      <c r="AT13" s="544"/>
      <c r="AU13" s="544"/>
      <c r="AV13" s="544"/>
      <c r="AW13" s="544"/>
      <c r="AX13" s="544"/>
      <c r="AY13" s="544"/>
      <c r="AZ13" s="544"/>
      <c r="BA13" s="544"/>
      <c r="BB13" s="544"/>
      <c r="BC13" s="544"/>
      <c r="BD13" s="544"/>
    </row>
    <row r="14" spans="1:56" s="7" customFormat="1" ht="11.25" customHeight="1" thickBot="1">
      <c r="A14" s="495"/>
      <c r="B14" s="1074" t="s">
        <v>364</v>
      </c>
      <c r="C14" s="1075"/>
      <c r="D14" s="495"/>
      <c r="E14" s="784"/>
      <c r="F14" s="784"/>
      <c r="G14" s="544"/>
      <c r="H14" s="824"/>
      <c r="I14" s="824"/>
      <c r="J14" s="824"/>
      <c r="K14" s="824"/>
      <c r="L14" s="824"/>
      <c r="M14" s="824"/>
      <c r="N14" s="824"/>
      <c r="O14" s="824"/>
      <c r="P14" s="824"/>
      <c r="Q14" s="824"/>
      <c r="R14" s="824"/>
      <c r="S14" s="824"/>
      <c r="T14" s="824"/>
      <c r="U14" s="824"/>
      <c r="V14" s="824"/>
      <c r="W14" s="823"/>
      <c r="X14" s="824"/>
      <c r="Y14" s="824"/>
      <c r="Z14" s="824"/>
      <c r="AA14" s="824"/>
      <c r="AB14" s="824"/>
      <c r="AC14" s="824"/>
      <c r="AD14" s="824"/>
      <c r="AE14" s="824"/>
      <c r="AF14" s="824"/>
      <c r="AG14" s="824"/>
      <c r="AH14" s="824"/>
      <c r="AI14" s="824"/>
      <c r="AJ14" s="824"/>
      <c r="AK14" s="824"/>
      <c r="AL14" s="824"/>
      <c r="AM14" s="824"/>
      <c r="AN14" s="544"/>
      <c r="AO14" s="544"/>
      <c r="AP14" s="544"/>
      <c r="AQ14" s="544"/>
      <c r="AR14" s="544"/>
      <c r="AS14" s="544"/>
      <c r="AT14" s="544"/>
      <c r="AU14" s="544"/>
      <c r="AV14" s="544"/>
      <c r="AW14" s="544"/>
      <c r="AX14" s="544"/>
      <c r="AY14" s="544"/>
      <c r="AZ14" s="544"/>
      <c r="BA14" s="544"/>
      <c r="BB14" s="544"/>
      <c r="BC14" s="544"/>
      <c r="BD14" s="544"/>
    </row>
    <row r="15" spans="1:56" s="7" customFormat="1" ht="2.25" customHeight="1" thickTop="1">
      <c r="A15" s="495"/>
      <c r="B15" s="497"/>
      <c r="C15" s="495"/>
      <c r="D15" s="495"/>
      <c r="E15" s="784"/>
      <c r="F15" s="784"/>
      <c r="G15" s="544"/>
      <c r="H15" s="278"/>
      <c r="I15" s="279"/>
      <c r="J15" s="279"/>
      <c r="K15" s="279"/>
      <c r="L15" s="279"/>
      <c r="M15" s="279"/>
      <c r="N15" s="279"/>
      <c r="O15" s="279"/>
      <c r="P15" s="280"/>
      <c r="Q15" s="280"/>
      <c r="R15" s="280"/>
      <c r="S15" s="280"/>
      <c r="T15" s="280"/>
      <c r="U15" s="280"/>
      <c r="V15" s="281"/>
      <c r="W15" s="266"/>
      <c r="X15" s="503"/>
      <c r="Y15" s="280"/>
      <c r="Z15" s="280"/>
      <c r="AA15" s="280"/>
      <c r="AB15" s="280"/>
      <c r="AC15" s="280"/>
      <c r="AD15" s="280"/>
      <c r="AE15" s="280"/>
      <c r="AF15" s="280"/>
      <c r="AG15" s="280"/>
      <c r="AH15" s="280"/>
      <c r="AI15" s="280"/>
      <c r="AJ15" s="280"/>
      <c r="AK15" s="280"/>
      <c r="AL15" s="280"/>
      <c r="AM15" s="281"/>
      <c r="AN15" s="544"/>
      <c r="AO15" s="544"/>
      <c r="AP15" s="544"/>
      <c r="AQ15" s="544"/>
      <c r="AR15" s="544"/>
      <c r="AS15" s="544"/>
      <c r="AT15" s="544"/>
      <c r="AU15" s="544"/>
      <c r="AV15" s="544"/>
      <c r="AW15" s="544"/>
      <c r="AX15" s="544"/>
      <c r="AY15" s="544"/>
      <c r="AZ15" s="544"/>
      <c r="BA15" s="544"/>
      <c r="BB15" s="544"/>
      <c r="BC15" s="544"/>
      <c r="BD15" s="544"/>
    </row>
    <row r="16" spans="1:56" s="7" customFormat="1" ht="11.25" customHeight="1" thickBot="1">
      <c r="A16" s="495"/>
      <c r="B16" s="497"/>
      <c r="C16" s="495"/>
      <c r="D16" s="495"/>
      <c r="E16" s="784"/>
      <c r="F16" s="784"/>
      <c r="G16" s="544"/>
      <c r="H16" s="961" t="str">
        <f>"geplante "&amp;ZRB!G10&amp;":"</f>
        <v>geplante Dachanlage:</v>
      </c>
      <c r="I16" s="962"/>
      <c r="J16" s="962"/>
      <c r="K16" s="962"/>
      <c r="L16" s="962"/>
      <c r="M16" s="962"/>
      <c r="N16" s="962"/>
      <c r="O16" s="962"/>
      <c r="P16" s="962"/>
      <c r="Q16" s="1285">
        <f>IF(ZRB!G6=0,"",ZRB!G6)</f>
      </c>
      <c r="R16" s="1285"/>
      <c r="S16" s="1285"/>
      <c r="T16" s="1285"/>
      <c r="U16" s="1285"/>
      <c r="V16" s="1286"/>
      <c r="W16" s="266"/>
      <c r="X16" s="961" t="s">
        <v>300</v>
      </c>
      <c r="Y16" s="962"/>
      <c r="Z16" s="962"/>
      <c r="AA16" s="962"/>
      <c r="AB16" s="962"/>
      <c r="AC16" s="1184" t="str">
        <f>"(im ø der "&amp;ZRB!G21&amp;" Jahre Laufzeit)"</f>
        <v>(im ø der 20 Jahre Laufzeit)</v>
      </c>
      <c r="AD16" s="1184"/>
      <c r="AE16" s="1184"/>
      <c r="AF16" s="1184"/>
      <c r="AG16" s="1184"/>
      <c r="AH16" s="1184"/>
      <c r="AI16" s="1266">
        <f>IF(ZRB!G23=0,"",ZRB!G23)</f>
      </c>
      <c r="AJ16" s="1266"/>
      <c r="AK16" s="1266"/>
      <c r="AL16" s="1266"/>
      <c r="AM16" s="1267"/>
      <c r="AN16" s="544"/>
      <c r="AO16" s="544"/>
      <c r="AP16" s="544"/>
      <c r="AQ16" s="544"/>
      <c r="AR16" s="544"/>
      <c r="AS16" s="544"/>
      <c r="AT16" s="544"/>
      <c r="AU16" s="544"/>
      <c r="AV16" s="544"/>
      <c r="AW16" s="544"/>
      <c r="AX16" s="544"/>
      <c r="AY16" s="544"/>
      <c r="AZ16" s="544"/>
      <c r="BA16" s="544"/>
      <c r="BB16" s="544"/>
      <c r="BC16" s="544"/>
      <c r="BD16" s="544"/>
    </row>
    <row r="17" spans="1:56" s="7" customFormat="1" ht="2.25" customHeight="1" thickTop="1">
      <c r="A17" s="495"/>
      <c r="B17" s="1076" t="s">
        <v>279</v>
      </c>
      <c r="C17" s="1077"/>
      <c r="D17" s="495"/>
      <c r="E17" s="784"/>
      <c r="F17" s="784"/>
      <c r="G17" s="544"/>
      <c r="H17" s="961"/>
      <c r="I17" s="962"/>
      <c r="J17" s="962"/>
      <c r="K17" s="962"/>
      <c r="L17" s="962"/>
      <c r="M17" s="962"/>
      <c r="N17" s="962"/>
      <c r="O17" s="962"/>
      <c r="P17" s="962"/>
      <c r="Q17" s="1285"/>
      <c r="R17" s="1285"/>
      <c r="S17" s="1285"/>
      <c r="T17" s="1285"/>
      <c r="U17" s="1285"/>
      <c r="V17" s="1286"/>
      <c r="W17" s="266"/>
      <c r="X17" s="961"/>
      <c r="Y17" s="962"/>
      <c r="Z17" s="962"/>
      <c r="AA17" s="962"/>
      <c r="AB17" s="962"/>
      <c r="AC17" s="1184"/>
      <c r="AD17" s="1184"/>
      <c r="AE17" s="1184"/>
      <c r="AF17" s="1184"/>
      <c r="AG17" s="1184"/>
      <c r="AH17" s="1184"/>
      <c r="AI17" s="1266"/>
      <c r="AJ17" s="1266"/>
      <c r="AK17" s="1266"/>
      <c r="AL17" s="1266"/>
      <c r="AM17" s="1267"/>
      <c r="AN17" s="544"/>
      <c r="AO17" s="544"/>
      <c r="AP17" s="544"/>
      <c r="AQ17" s="544"/>
      <c r="AR17" s="544"/>
      <c r="AS17" s="544"/>
      <c r="AT17" s="544"/>
      <c r="AU17" s="544"/>
      <c r="AV17" s="544"/>
      <c r="AW17" s="544"/>
      <c r="AX17" s="544"/>
      <c r="AY17" s="544"/>
      <c r="AZ17" s="544"/>
      <c r="BA17" s="544"/>
      <c r="BB17" s="544"/>
      <c r="BC17" s="544"/>
      <c r="BD17" s="544"/>
    </row>
    <row r="18" spans="1:56" s="7" customFormat="1" ht="11.25" customHeight="1">
      <c r="A18" s="495"/>
      <c r="B18" s="1078"/>
      <c r="C18" s="1079"/>
      <c r="D18" s="495"/>
      <c r="E18" s="784"/>
      <c r="F18" s="784"/>
      <c r="G18" s="544"/>
      <c r="H18" s="961"/>
      <c r="I18" s="962"/>
      <c r="J18" s="962"/>
      <c r="K18" s="962"/>
      <c r="L18" s="962"/>
      <c r="M18" s="962"/>
      <c r="N18" s="962"/>
      <c r="O18" s="962"/>
      <c r="P18" s="962"/>
      <c r="Q18" s="1285"/>
      <c r="R18" s="1285"/>
      <c r="S18" s="1285"/>
      <c r="T18" s="1285"/>
      <c r="U18" s="1285"/>
      <c r="V18" s="1286"/>
      <c r="W18" s="284"/>
      <c r="X18" s="961"/>
      <c r="Y18" s="962"/>
      <c r="Z18" s="962"/>
      <c r="AA18" s="962"/>
      <c r="AB18" s="962"/>
      <c r="AC18" s="1184"/>
      <c r="AD18" s="1184"/>
      <c r="AE18" s="1184"/>
      <c r="AF18" s="1184"/>
      <c r="AG18" s="1184"/>
      <c r="AH18" s="1184"/>
      <c r="AI18" s="1266"/>
      <c r="AJ18" s="1266"/>
      <c r="AK18" s="1266"/>
      <c r="AL18" s="1266"/>
      <c r="AM18" s="1267"/>
      <c r="AN18" s="544"/>
      <c r="AO18" s="544"/>
      <c r="AP18" s="544"/>
      <c r="AQ18" s="544"/>
      <c r="AR18" s="544"/>
      <c r="AS18" s="544"/>
      <c r="AT18" s="544"/>
      <c r="AU18" s="544"/>
      <c r="AV18" s="544"/>
      <c r="AW18" s="544"/>
      <c r="AX18" s="544"/>
      <c r="AY18" s="544"/>
      <c r="AZ18" s="544"/>
      <c r="BA18" s="544"/>
      <c r="BB18" s="544"/>
      <c r="BC18" s="544"/>
      <c r="BD18" s="544"/>
    </row>
    <row r="19" spans="1:56" s="7" customFormat="1" ht="2.25" customHeight="1">
      <c r="A19" s="495"/>
      <c r="B19" s="1078"/>
      <c r="C19" s="1079"/>
      <c r="D19" s="495"/>
      <c r="E19" s="784"/>
      <c r="F19" s="784"/>
      <c r="G19" s="544"/>
      <c r="H19" s="413"/>
      <c r="I19" s="1247" t="s">
        <v>384</v>
      </c>
      <c r="J19" s="1247"/>
      <c r="K19" s="1247"/>
      <c r="L19" s="1247"/>
      <c r="M19" s="1247"/>
      <c r="N19" s="1247"/>
      <c r="O19" s="1247"/>
      <c r="P19" s="1247"/>
      <c r="Q19" s="1185" t="str">
        <f>ZRB!G11</f>
        <v>Stuttgart</v>
      </c>
      <c r="R19" s="1185"/>
      <c r="S19" s="1185"/>
      <c r="T19" s="1185"/>
      <c r="U19" s="1185"/>
      <c r="V19" s="347"/>
      <c r="W19" s="266"/>
      <c r="X19" s="663"/>
      <c r="Y19" s="1180" t="s">
        <v>377</v>
      </c>
      <c r="Z19" s="1180"/>
      <c r="AA19" s="1180"/>
      <c r="AB19" s="1180"/>
      <c r="AC19" s="1180"/>
      <c r="AD19" s="270"/>
      <c r="AE19" s="270"/>
      <c r="AF19" s="270"/>
      <c r="AG19" s="270"/>
      <c r="AH19" s="270"/>
      <c r="AI19" s="1278">
        <f>IF(ZRB!G19=0,"",ZRB!G19)</f>
      </c>
      <c r="AJ19" s="1278"/>
      <c r="AK19" s="1278"/>
      <c r="AL19" s="1278"/>
      <c r="AM19" s="1279"/>
      <c r="AN19" s="544"/>
      <c r="AO19" s="544"/>
      <c r="AP19" s="544"/>
      <c r="AQ19" s="544"/>
      <c r="AR19" s="544"/>
      <c r="AS19" s="544"/>
      <c r="AT19" s="544"/>
      <c r="AU19" s="544"/>
      <c r="AV19" s="544"/>
      <c r="AW19" s="544"/>
      <c r="AX19" s="544"/>
      <c r="AY19" s="544"/>
      <c r="AZ19" s="544"/>
      <c r="BA19" s="544"/>
      <c r="BB19" s="544"/>
      <c r="BC19" s="544"/>
      <c r="BD19" s="544"/>
    </row>
    <row r="20" spans="1:56" s="7" customFormat="1" ht="11.25" customHeight="1">
      <c r="A20" s="495"/>
      <c r="B20" s="1078"/>
      <c r="C20" s="1079"/>
      <c r="D20" s="495"/>
      <c r="E20" s="785">
        <f>Kalkulation_Eigenstrom!E43</f>
        <v>1</v>
      </c>
      <c r="F20" s="785"/>
      <c r="G20" s="544"/>
      <c r="H20" s="410"/>
      <c r="I20" s="1247"/>
      <c r="J20" s="1247"/>
      <c r="K20" s="1247"/>
      <c r="L20" s="1247"/>
      <c r="M20" s="1247"/>
      <c r="N20" s="1247"/>
      <c r="O20" s="1247"/>
      <c r="P20" s="1247"/>
      <c r="Q20" s="1185"/>
      <c r="R20" s="1185"/>
      <c r="S20" s="1185"/>
      <c r="T20" s="1185"/>
      <c r="U20" s="1185"/>
      <c r="V20" s="282"/>
      <c r="W20" s="266"/>
      <c r="X20" s="663"/>
      <c r="Y20" s="1180"/>
      <c r="Z20" s="1180"/>
      <c r="AA20" s="1180"/>
      <c r="AB20" s="1180"/>
      <c r="AC20" s="1180"/>
      <c r="AD20" s="1289">
        <f>ZRB!G18</f>
        <v>930</v>
      </c>
      <c r="AE20" s="1289"/>
      <c r="AF20" s="1289"/>
      <c r="AG20" s="1289"/>
      <c r="AH20" s="1289"/>
      <c r="AI20" s="1278"/>
      <c r="AJ20" s="1278"/>
      <c r="AK20" s="1278"/>
      <c r="AL20" s="1278"/>
      <c r="AM20" s="1279"/>
      <c r="AN20" s="544"/>
      <c r="AO20" s="544"/>
      <c r="AP20" s="544"/>
      <c r="AQ20" s="544"/>
      <c r="AR20" s="544"/>
      <c r="AS20" s="544"/>
      <c r="AT20" s="544"/>
      <c r="AU20" s="544"/>
      <c r="AV20" s="544"/>
      <c r="AW20" s="544"/>
      <c r="AX20" s="544"/>
      <c r="AY20" s="544"/>
      <c r="AZ20" s="544"/>
      <c r="BA20" s="544"/>
      <c r="BB20" s="544"/>
      <c r="BC20" s="544"/>
      <c r="BD20" s="544"/>
    </row>
    <row r="21" spans="1:56" s="7" customFormat="1" ht="2.25" customHeight="1" thickBot="1">
      <c r="A21" s="495"/>
      <c r="B21" s="1074" t="s">
        <v>364</v>
      </c>
      <c r="C21" s="1075"/>
      <c r="D21" s="495"/>
      <c r="E21" s="784"/>
      <c r="F21" s="784"/>
      <c r="G21" s="544"/>
      <c r="H21" s="410"/>
      <c r="I21" s="1247" t="s">
        <v>312</v>
      </c>
      <c r="J21" s="1247"/>
      <c r="K21" s="1247"/>
      <c r="L21" s="1247"/>
      <c r="M21" s="1247"/>
      <c r="N21" s="1247"/>
      <c r="O21" s="1247"/>
      <c r="P21" s="1247"/>
      <c r="Q21" s="1185" t="str">
        <f>ZRB!G12</f>
        <v>August  2014</v>
      </c>
      <c r="R21" s="1185"/>
      <c r="S21" s="1185"/>
      <c r="T21" s="1185"/>
      <c r="U21" s="1185"/>
      <c r="V21" s="282"/>
      <c r="W21" s="266"/>
      <c r="X21" s="663"/>
      <c r="Y21" s="1180" t="str">
        <f>"Solarertrag im "&amp;ZRB!G21&amp;". Jahr"</f>
        <v>Solarertrag im 20. Jahr</v>
      </c>
      <c r="Z21" s="1180"/>
      <c r="AA21" s="1180"/>
      <c r="AB21" s="1180"/>
      <c r="AC21" s="1180"/>
      <c r="AD21" s="687"/>
      <c r="AE21" s="687"/>
      <c r="AF21" s="687"/>
      <c r="AG21" s="687"/>
      <c r="AH21" s="687"/>
      <c r="AI21" s="1278">
        <f>IF(ZRB!G22=0,"",ZRB!G22)</f>
      </c>
      <c r="AJ21" s="1278"/>
      <c r="AK21" s="1278"/>
      <c r="AL21" s="1278"/>
      <c r="AM21" s="1279"/>
      <c r="AN21" s="544"/>
      <c r="AO21" s="544"/>
      <c r="AP21" s="544"/>
      <c r="AQ21" s="544"/>
      <c r="AR21" s="544"/>
      <c r="AS21" s="544"/>
      <c r="AT21" s="544"/>
      <c r="AU21" s="544"/>
      <c r="AV21" s="544"/>
      <c r="AW21" s="544"/>
      <c r="AX21" s="544"/>
      <c r="AY21" s="544"/>
      <c r="AZ21" s="544"/>
      <c r="BA21" s="544"/>
      <c r="BB21" s="544"/>
      <c r="BC21" s="544"/>
      <c r="BD21" s="544"/>
    </row>
    <row r="22" spans="1:56" s="7" customFormat="1" ht="11.25" customHeight="1" thickTop="1">
      <c r="A22" s="495"/>
      <c r="B22" s="497"/>
      <c r="C22" s="495"/>
      <c r="D22" s="495"/>
      <c r="E22" s="784"/>
      <c r="F22" s="784"/>
      <c r="G22" s="544"/>
      <c r="H22" s="410"/>
      <c r="I22" s="1247"/>
      <c r="J22" s="1247"/>
      <c r="K22" s="1247"/>
      <c r="L22" s="1247"/>
      <c r="M22" s="1247"/>
      <c r="N22" s="1247"/>
      <c r="O22" s="1247"/>
      <c r="P22" s="1247"/>
      <c r="Q22" s="1185"/>
      <c r="R22" s="1185"/>
      <c r="S22" s="1185"/>
      <c r="T22" s="1185"/>
      <c r="U22" s="1185"/>
      <c r="V22" s="282"/>
      <c r="W22" s="266"/>
      <c r="X22" s="663"/>
      <c r="Y22" s="1180"/>
      <c r="Z22" s="1180"/>
      <c r="AA22" s="1180"/>
      <c r="AB22" s="1180"/>
      <c r="AC22" s="1180"/>
      <c r="AD22" s="1288" t="str">
        <f>"(Systemalterung ca. "&amp;ROUND(ZRB!G20*100,3)&amp;"% / Jahr)"</f>
        <v>(Systemalterung ca. 0,5% / Jahr)</v>
      </c>
      <c r="AE22" s="1288"/>
      <c r="AF22" s="1288"/>
      <c r="AG22" s="1288"/>
      <c r="AH22" s="1288"/>
      <c r="AI22" s="1278"/>
      <c r="AJ22" s="1278"/>
      <c r="AK22" s="1278"/>
      <c r="AL22" s="1278"/>
      <c r="AM22" s="1279"/>
      <c r="AN22" s="544"/>
      <c r="AO22" s="544"/>
      <c r="AP22" s="544"/>
      <c r="AQ22" s="544"/>
      <c r="AR22" s="544"/>
      <c r="AS22" s="544"/>
      <c r="AT22" s="544"/>
      <c r="AU22" s="544"/>
      <c r="AV22" s="544"/>
      <c r="AW22" s="544"/>
      <c r="AX22" s="544"/>
      <c r="AY22" s="544"/>
      <c r="AZ22" s="544"/>
      <c r="BA22" s="544"/>
      <c r="BB22" s="544"/>
      <c r="BC22" s="544"/>
      <c r="BD22" s="544"/>
    </row>
    <row r="23" spans="1:56" s="7" customFormat="1" ht="2.25" customHeight="1">
      <c r="A23" s="495"/>
      <c r="B23" s="497"/>
      <c r="C23" s="495"/>
      <c r="D23" s="495"/>
      <c r="E23" s="784"/>
      <c r="F23" s="784"/>
      <c r="G23" s="544"/>
      <c r="H23" s="411"/>
      <c r="I23" s="1247" t="s">
        <v>376</v>
      </c>
      <c r="J23" s="1247"/>
      <c r="K23" s="1247"/>
      <c r="L23" s="1247"/>
      <c r="M23" s="1247"/>
      <c r="N23" s="1247"/>
      <c r="O23" s="1247"/>
      <c r="P23" s="1247"/>
      <c r="Q23" s="1287">
        <f>ZRB!G21</f>
        <v>20</v>
      </c>
      <c r="R23" s="1287"/>
      <c r="S23" s="1287"/>
      <c r="T23" s="1287"/>
      <c r="U23" s="1287"/>
      <c r="V23" s="282"/>
      <c r="W23" s="266"/>
      <c r="X23" s="663"/>
      <c r="Y23" s="270"/>
      <c r="Z23" s="270"/>
      <c r="AA23" s="270"/>
      <c r="AB23" s="270"/>
      <c r="AC23" s="270"/>
      <c r="AD23" s="270"/>
      <c r="AE23" s="270"/>
      <c r="AF23" s="270"/>
      <c r="AG23" s="270"/>
      <c r="AH23" s="270"/>
      <c r="AI23" s="270"/>
      <c r="AJ23" s="270"/>
      <c r="AK23" s="270"/>
      <c r="AL23" s="270"/>
      <c r="AM23" s="428"/>
      <c r="AN23" s="544"/>
      <c r="AO23" s="544"/>
      <c r="AP23" s="544"/>
      <c r="AQ23" s="544"/>
      <c r="AR23" s="544"/>
      <c r="AS23" s="544"/>
      <c r="AT23" s="544"/>
      <c r="AU23" s="544"/>
      <c r="AV23" s="544"/>
      <c r="AW23" s="544"/>
      <c r="AX23" s="544"/>
      <c r="AY23" s="544"/>
      <c r="AZ23" s="544"/>
      <c r="BA23" s="544"/>
      <c r="BB23" s="544"/>
      <c r="BC23" s="544"/>
      <c r="BD23" s="544"/>
    </row>
    <row r="24" spans="1:56" s="7" customFormat="1" ht="11.25" customHeight="1" thickBot="1">
      <c r="A24" s="495"/>
      <c r="B24" s="497"/>
      <c r="C24" s="495"/>
      <c r="D24" s="495"/>
      <c r="E24" s="784"/>
      <c r="F24" s="784"/>
      <c r="G24" s="544"/>
      <c r="H24" s="411"/>
      <c r="I24" s="1247"/>
      <c r="J24" s="1247"/>
      <c r="K24" s="1247"/>
      <c r="L24" s="1247"/>
      <c r="M24" s="1247"/>
      <c r="N24" s="1247"/>
      <c r="O24" s="1247"/>
      <c r="P24" s="1247"/>
      <c r="Q24" s="1287"/>
      <c r="R24" s="1287"/>
      <c r="S24" s="1287"/>
      <c r="T24" s="1287"/>
      <c r="U24" s="1287"/>
      <c r="V24" s="282"/>
      <c r="W24" s="266"/>
      <c r="X24" s="663"/>
      <c r="Y24" s="270"/>
      <c r="Z24" s="270"/>
      <c r="AA24" s="270"/>
      <c r="AB24" s="270"/>
      <c r="AC24" s="270"/>
      <c r="AD24" s="270"/>
      <c r="AE24" s="270"/>
      <c r="AF24" s="270"/>
      <c r="AG24" s="270"/>
      <c r="AH24" s="270"/>
      <c r="AI24" s="270"/>
      <c r="AJ24" s="270"/>
      <c r="AK24" s="270"/>
      <c r="AL24" s="270"/>
      <c r="AM24" s="428"/>
      <c r="AN24" s="544"/>
      <c r="AO24" s="544"/>
      <c r="AP24" s="544"/>
      <c r="AQ24" s="544"/>
      <c r="AR24" s="544"/>
      <c r="AS24" s="544"/>
      <c r="AT24" s="544"/>
      <c r="AU24" s="544"/>
      <c r="AV24" s="544"/>
      <c r="AW24" s="544"/>
      <c r="AX24" s="544"/>
      <c r="AY24" s="544"/>
      <c r="AZ24" s="544"/>
      <c r="BA24" s="544"/>
      <c r="BB24" s="544"/>
      <c r="BC24" s="544"/>
      <c r="BD24" s="544"/>
    </row>
    <row r="25" spans="1:56" s="7" customFormat="1" ht="2.25" customHeight="1" thickTop="1">
      <c r="A25" s="495"/>
      <c r="B25" s="1076" t="s">
        <v>357</v>
      </c>
      <c r="C25" s="1077"/>
      <c r="D25" s="495"/>
      <c r="E25" s="784"/>
      <c r="F25" s="784"/>
      <c r="G25" s="544"/>
      <c r="H25" s="504"/>
      <c r="I25" s="664"/>
      <c r="J25" s="664"/>
      <c r="K25" s="664"/>
      <c r="L25" s="664"/>
      <c r="M25" s="664"/>
      <c r="N25" s="664"/>
      <c r="O25" s="664"/>
      <c r="P25" s="664"/>
      <c r="Q25" s="505"/>
      <c r="R25" s="505"/>
      <c r="S25" s="505"/>
      <c r="T25" s="505"/>
      <c r="U25" s="505"/>
      <c r="V25" s="665"/>
      <c r="W25" s="266"/>
      <c r="X25" s="663"/>
      <c r="Y25" s="270"/>
      <c r="Z25" s="270"/>
      <c r="AA25" s="270"/>
      <c r="AB25" s="270"/>
      <c r="AC25" s="270"/>
      <c r="AD25" s="270"/>
      <c r="AE25" s="270"/>
      <c r="AF25" s="270"/>
      <c r="AG25" s="270"/>
      <c r="AH25" s="270"/>
      <c r="AI25" s="270"/>
      <c r="AJ25" s="270"/>
      <c r="AK25" s="270"/>
      <c r="AL25" s="270"/>
      <c r="AM25" s="428"/>
      <c r="AN25" s="544"/>
      <c r="AO25" s="544"/>
      <c r="AP25" s="544"/>
      <c r="AQ25" s="544"/>
      <c r="AR25" s="544"/>
      <c r="AS25" s="544"/>
      <c r="AT25" s="544"/>
      <c r="AU25" s="544"/>
      <c r="AV25" s="544"/>
      <c r="AW25" s="544"/>
      <c r="AX25" s="544"/>
      <c r="AY25" s="544"/>
      <c r="AZ25" s="544"/>
      <c r="BA25" s="544"/>
      <c r="BB25" s="544"/>
      <c r="BC25" s="544"/>
      <c r="BD25" s="544"/>
    </row>
    <row r="26" spans="1:56" s="7" customFormat="1" ht="11.25" customHeight="1">
      <c r="A26" s="495"/>
      <c r="B26" s="1078"/>
      <c r="C26" s="1079"/>
      <c r="D26" s="495"/>
      <c r="E26" s="784"/>
      <c r="F26" s="784"/>
      <c r="G26" s="544"/>
      <c r="H26" s="661"/>
      <c r="I26" s="661"/>
      <c r="J26" s="661"/>
      <c r="K26" s="661"/>
      <c r="L26" s="661"/>
      <c r="M26" s="661"/>
      <c r="N26" s="661"/>
      <c r="O26" s="661"/>
      <c r="P26" s="661"/>
      <c r="Q26" s="661"/>
      <c r="R26" s="661"/>
      <c r="S26" s="661"/>
      <c r="T26" s="661"/>
      <c r="U26" s="661"/>
      <c r="V26" s="662"/>
      <c r="W26" s="662"/>
      <c r="X26" s="402"/>
      <c r="Y26" s="1290">
        <f>Kalkulation_Eigenstrom!W15</f>
      </c>
      <c r="Z26" s="1290"/>
      <c r="AA26" s="1290"/>
      <c r="AB26" s="1290"/>
      <c r="AC26" s="1290"/>
      <c r="AD26" s="1290"/>
      <c r="AE26" s="1290"/>
      <c r="AF26" s="1290"/>
      <c r="AG26" s="1290"/>
      <c r="AH26" s="1290"/>
      <c r="AI26" s="1290"/>
      <c r="AJ26" s="1290"/>
      <c r="AK26" s="1290"/>
      <c r="AL26" s="1290"/>
      <c r="AM26" s="1291"/>
      <c r="AN26" s="544"/>
      <c r="AO26" s="544"/>
      <c r="AP26" s="544"/>
      <c r="AQ26" s="544"/>
      <c r="AR26" s="544"/>
      <c r="AS26" s="544"/>
      <c r="AT26" s="544"/>
      <c r="AU26" s="544"/>
      <c r="AV26" s="544"/>
      <c r="AW26" s="544"/>
      <c r="AX26" s="544"/>
      <c r="AY26" s="544"/>
      <c r="AZ26" s="544"/>
      <c r="BA26" s="544"/>
      <c r="BB26" s="544"/>
      <c r="BC26" s="544"/>
      <c r="BD26" s="544"/>
    </row>
    <row r="27" spans="1:56" s="7" customFormat="1" ht="2.25" customHeight="1">
      <c r="A27" s="495"/>
      <c r="B27" s="1078"/>
      <c r="C27" s="1079"/>
      <c r="D27" s="495"/>
      <c r="E27" s="784"/>
      <c r="F27" s="784"/>
      <c r="G27" s="544"/>
      <c r="H27" s="503"/>
      <c r="I27" s="280"/>
      <c r="J27" s="280"/>
      <c r="K27" s="280"/>
      <c r="L27" s="280"/>
      <c r="M27" s="280"/>
      <c r="N27" s="280"/>
      <c r="O27" s="280"/>
      <c r="P27" s="280"/>
      <c r="Q27" s="280"/>
      <c r="R27" s="280"/>
      <c r="S27" s="280"/>
      <c r="T27" s="280"/>
      <c r="U27" s="280"/>
      <c r="V27" s="281"/>
      <c r="W27" s="266"/>
      <c r="X27" s="402"/>
      <c r="Y27" s="1290"/>
      <c r="Z27" s="1290"/>
      <c r="AA27" s="1290"/>
      <c r="AB27" s="1290"/>
      <c r="AC27" s="1290"/>
      <c r="AD27" s="1290"/>
      <c r="AE27" s="1290"/>
      <c r="AF27" s="1290"/>
      <c r="AG27" s="1290"/>
      <c r="AH27" s="1290"/>
      <c r="AI27" s="1290"/>
      <c r="AJ27" s="1290"/>
      <c r="AK27" s="1290"/>
      <c r="AL27" s="1290"/>
      <c r="AM27" s="1291"/>
      <c r="AN27" s="544"/>
      <c r="AO27" s="544"/>
      <c r="AP27" s="544"/>
      <c r="AQ27" s="544"/>
      <c r="AR27" s="544"/>
      <c r="AS27" s="544"/>
      <c r="AT27" s="544"/>
      <c r="AU27" s="544"/>
      <c r="AV27" s="544"/>
      <c r="AW27" s="544"/>
      <c r="AX27" s="544"/>
      <c r="AY27" s="544"/>
      <c r="AZ27" s="544"/>
      <c r="BA27" s="544"/>
      <c r="BB27" s="544"/>
      <c r="BC27" s="544"/>
      <c r="BD27" s="544"/>
    </row>
    <row r="28" spans="1:56" s="7" customFormat="1" ht="11.25" customHeight="1">
      <c r="A28" s="495"/>
      <c r="B28" s="1078"/>
      <c r="C28" s="1079"/>
      <c r="D28" s="495"/>
      <c r="E28" s="784"/>
      <c r="F28" s="786">
        <f>ZRB!G33</f>
        <v>0</v>
      </c>
      <c r="G28" s="544"/>
      <c r="H28" s="961" t="s">
        <v>274</v>
      </c>
      <c r="I28" s="962"/>
      <c r="J28" s="962"/>
      <c r="K28" s="962"/>
      <c r="L28" s="962"/>
      <c r="M28" s="962"/>
      <c r="N28" s="1184" t="str">
        <f>"(im ø der "&amp;ZRB!G21&amp;" J. Laufzeit)"</f>
        <v>(im ø der 20 J. Laufzeit)</v>
      </c>
      <c r="O28" s="1184"/>
      <c r="P28" s="1184"/>
      <c r="Q28" s="1184"/>
      <c r="R28" s="1266">
        <f>IF(ZRB!G23=0,"",ZRB!G23)</f>
      </c>
      <c r="S28" s="1266"/>
      <c r="T28" s="1266"/>
      <c r="U28" s="1266"/>
      <c r="V28" s="1267"/>
      <c r="W28" s="266"/>
      <c r="X28" s="994" t="str">
        <f>Kalkulation_Eigenstrom!V17</f>
        <v>kWh / Tag</v>
      </c>
      <c r="Y28" s="995"/>
      <c r="Z28" s="995"/>
      <c r="AA28" s="995"/>
      <c r="AB28" s="993">
        <f>Kalkulation_Eigenstrom!Z17</f>
      </c>
      <c r="AC28" s="993"/>
      <c r="AD28" s="993"/>
      <c r="AE28" s="993"/>
      <c r="AF28" s="993"/>
      <c r="AG28" s="993"/>
      <c r="AH28" s="993"/>
      <c r="AI28" s="993"/>
      <c r="AJ28" s="993"/>
      <c r="AK28" s="993"/>
      <c r="AL28" s="316"/>
      <c r="AM28" s="377"/>
      <c r="AN28" s="544"/>
      <c r="AO28" s="544"/>
      <c r="AP28" s="544"/>
      <c r="AQ28" s="544"/>
      <c r="AR28" s="544"/>
      <c r="AS28" s="544"/>
      <c r="AT28" s="544"/>
      <c r="AU28" s="544"/>
      <c r="AV28" s="544"/>
      <c r="AW28" s="544"/>
      <c r="AX28" s="544"/>
      <c r="AY28" s="544"/>
      <c r="AZ28" s="544"/>
      <c r="BA28" s="544"/>
      <c r="BB28" s="544"/>
      <c r="BC28" s="544"/>
      <c r="BD28" s="544"/>
    </row>
    <row r="29" spans="1:56" s="7" customFormat="1" ht="2.25" customHeight="1" thickBot="1">
      <c r="A29" s="495"/>
      <c r="B29" s="1074" t="s">
        <v>364</v>
      </c>
      <c r="C29" s="1075"/>
      <c r="D29" s="495"/>
      <c r="E29" s="784"/>
      <c r="F29" s="784"/>
      <c r="G29" s="544"/>
      <c r="H29" s="961"/>
      <c r="I29" s="962"/>
      <c r="J29" s="962"/>
      <c r="K29" s="962"/>
      <c r="L29" s="962"/>
      <c r="M29" s="962"/>
      <c r="N29" s="1184"/>
      <c r="O29" s="1184"/>
      <c r="P29" s="1184"/>
      <c r="Q29" s="1184"/>
      <c r="R29" s="1266"/>
      <c r="S29" s="1266"/>
      <c r="T29" s="1266"/>
      <c r="U29" s="1266"/>
      <c r="V29" s="1267"/>
      <c r="W29" s="266"/>
      <c r="X29" s="319"/>
      <c r="Y29" s="419"/>
      <c r="Z29" s="310"/>
      <c r="AA29" s="311"/>
      <c r="AB29" s="316"/>
      <c r="AC29" s="316"/>
      <c r="AD29" s="316"/>
      <c r="AE29" s="316"/>
      <c r="AF29" s="316"/>
      <c r="AG29" s="316"/>
      <c r="AH29" s="316"/>
      <c r="AI29" s="316"/>
      <c r="AJ29" s="316"/>
      <c r="AK29" s="316"/>
      <c r="AL29" s="316"/>
      <c r="AM29" s="377"/>
      <c r="AN29" s="544"/>
      <c r="AO29" s="544"/>
      <c r="AP29" s="544"/>
      <c r="AQ29" s="544"/>
      <c r="AR29" s="544"/>
      <c r="AS29" s="544"/>
      <c r="AT29" s="544"/>
      <c r="AU29" s="544"/>
      <c r="AV29" s="544"/>
      <c r="AW29" s="544"/>
      <c r="AX29" s="544"/>
      <c r="AY29" s="544"/>
      <c r="AZ29" s="544"/>
      <c r="BA29" s="544"/>
      <c r="BB29" s="544"/>
      <c r="BC29" s="544"/>
      <c r="BD29" s="544"/>
    </row>
    <row r="30" spans="1:56" s="7" customFormat="1" ht="11.25" customHeight="1" thickTop="1">
      <c r="A30" s="495"/>
      <c r="B30" s="497"/>
      <c r="C30" s="495"/>
      <c r="D30" s="495"/>
      <c r="E30" s="785">
        <f>Kalkulation_Eigenstrom!E43</f>
        <v>1</v>
      </c>
      <c r="F30" s="784"/>
      <c r="G30" s="544"/>
      <c r="H30" s="961"/>
      <c r="I30" s="962"/>
      <c r="J30" s="962"/>
      <c r="K30" s="962"/>
      <c r="L30" s="962"/>
      <c r="M30" s="962"/>
      <c r="N30" s="1184"/>
      <c r="O30" s="1184"/>
      <c r="P30" s="1184"/>
      <c r="Q30" s="1184"/>
      <c r="R30" s="1266"/>
      <c r="S30" s="1266"/>
      <c r="T30" s="1266"/>
      <c r="U30" s="1266"/>
      <c r="V30" s="1267"/>
      <c r="W30" s="266"/>
      <c r="X30" s="991">
        <f>Grafik_Ertrag!E24</f>
        <v>0</v>
      </c>
      <c r="Y30" s="992"/>
      <c r="Z30" s="992"/>
      <c r="AA30" s="311"/>
      <c r="AB30" s="311"/>
      <c r="AC30" s="312"/>
      <c r="AD30" s="312"/>
      <c r="AE30" s="312"/>
      <c r="AF30" s="312"/>
      <c r="AG30" s="312"/>
      <c r="AH30" s="312"/>
      <c r="AI30" s="312"/>
      <c r="AJ30" s="312"/>
      <c r="AK30" s="312"/>
      <c r="AL30" s="312"/>
      <c r="AM30" s="313"/>
      <c r="AN30" s="544"/>
      <c r="AO30" s="544"/>
      <c r="AP30" s="544"/>
      <c r="AQ30" s="544"/>
      <c r="AR30" s="544"/>
      <c r="AS30" s="544"/>
      <c r="AT30" s="544"/>
      <c r="AU30" s="544"/>
      <c r="AV30" s="544"/>
      <c r="AW30" s="544"/>
      <c r="AX30" s="544"/>
      <c r="AY30" s="544"/>
      <c r="AZ30" s="544"/>
      <c r="BA30" s="544"/>
      <c r="BB30" s="544"/>
      <c r="BC30" s="544"/>
      <c r="BD30" s="544"/>
    </row>
    <row r="31" spans="1:56" s="7" customFormat="1" ht="2.25" customHeight="1">
      <c r="A31" s="495"/>
      <c r="B31" s="497"/>
      <c r="C31" s="495"/>
      <c r="D31" s="495"/>
      <c r="E31" s="784"/>
      <c r="F31" s="784"/>
      <c r="G31" s="544"/>
      <c r="H31" s="411"/>
      <c r="I31" s="1180" t="s">
        <v>534</v>
      </c>
      <c r="J31" s="1180"/>
      <c r="K31" s="1180"/>
      <c r="L31" s="1180"/>
      <c r="M31" s="1180"/>
      <c r="N31" s="1180"/>
      <c r="O31" s="1180"/>
      <c r="P31" s="788"/>
      <c r="Q31" s="788"/>
      <c r="R31" s="1278">
        <f>IF(ZRB!G32=0,"",ZRB!G32)</f>
      </c>
      <c r="S31" s="1278"/>
      <c r="T31" s="1278"/>
      <c r="U31" s="1278"/>
      <c r="V31" s="1279"/>
      <c r="W31" s="266"/>
      <c r="X31" s="991"/>
      <c r="Y31" s="992"/>
      <c r="Z31" s="992"/>
      <c r="AA31" s="311"/>
      <c r="AB31" s="311"/>
      <c r="AC31" s="314"/>
      <c r="AD31" s="314"/>
      <c r="AE31" s="315"/>
      <c r="AF31" s="315"/>
      <c r="AG31" s="315"/>
      <c r="AH31" s="315"/>
      <c r="AI31" s="316"/>
      <c r="AJ31" s="316"/>
      <c r="AK31" s="317"/>
      <c r="AL31" s="317"/>
      <c r="AM31" s="313"/>
      <c r="AN31" s="544"/>
      <c r="AO31" s="544"/>
      <c r="AP31" s="544"/>
      <c r="AQ31" s="544"/>
      <c r="AR31" s="544"/>
      <c r="AS31" s="544"/>
      <c r="AT31" s="544"/>
      <c r="AU31" s="544"/>
      <c r="AV31" s="544"/>
      <c r="AW31" s="544"/>
      <c r="AX31" s="544"/>
      <c r="AY31" s="544"/>
      <c r="AZ31" s="544"/>
      <c r="BA31" s="544"/>
      <c r="BB31" s="544"/>
      <c r="BC31" s="544"/>
      <c r="BD31" s="544"/>
    </row>
    <row r="32" spans="1:56" s="7" customFormat="1" ht="11.25" customHeight="1" thickBot="1">
      <c r="A32" s="495"/>
      <c r="B32" s="497"/>
      <c r="C32" s="495"/>
      <c r="D32" s="495"/>
      <c r="E32" s="784"/>
      <c r="F32" s="784"/>
      <c r="G32" s="544"/>
      <c r="H32" s="411"/>
      <c r="I32" s="1180"/>
      <c r="J32" s="1180"/>
      <c r="K32" s="1180"/>
      <c r="L32" s="1180"/>
      <c r="M32" s="1180"/>
      <c r="N32" s="1180"/>
      <c r="O32" s="1180"/>
      <c r="P32" s="1181" t="str">
        <f>"( "&amp;ROUND(ZRB!I32*100,2)&amp;"% )"</f>
        <v>( 0% )</v>
      </c>
      <c r="Q32" s="1181"/>
      <c r="R32" s="1278"/>
      <c r="S32" s="1278"/>
      <c r="T32" s="1278"/>
      <c r="U32" s="1278"/>
      <c r="V32" s="1279"/>
      <c r="W32" s="266"/>
      <c r="X32" s="991"/>
      <c r="Y32" s="992"/>
      <c r="Z32" s="992"/>
      <c r="AA32" s="311"/>
      <c r="AB32" s="311"/>
      <c r="AC32" s="314"/>
      <c r="AD32" s="314"/>
      <c r="AE32" s="315"/>
      <c r="AF32" s="315"/>
      <c r="AG32" s="315"/>
      <c r="AH32" s="315"/>
      <c r="AI32" s="316"/>
      <c r="AJ32" s="316"/>
      <c r="AK32" s="317"/>
      <c r="AL32" s="317"/>
      <c r="AM32" s="313"/>
      <c r="AN32" s="544"/>
      <c r="AO32" s="544"/>
      <c r="AP32" s="544"/>
      <c r="AQ32" s="544"/>
      <c r="AR32" s="544"/>
      <c r="AS32" s="544"/>
      <c r="AT32" s="544"/>
      <c r="AU32" s="544"/>
      <c r="AV32" s="544"/>
      <c r="AW32" s="544"/>
      <c r="AX32" s="544"/>
      <c r="AY32" s="544"/>
      <c r="AZ32" s="544"/>
      <c r="BA32" s="544"/>
      <c r="BB32" s="544"/>
      <c r="BC32" s="544"/>
      <c r="BD32" s="544"/>
    </row>
    <row r="33" spans="1:56" s="7" customFormat="1" ht="2.25" customHeight="1" thickTop="1">
      <c r="A33" s="495"/>
      <c r="B33" s="939" t="s">
        <v>563</v>
      </c>
      <c r="C33" s="940"/>
      <c r="D33" s="495"/>
      <c r="E33" s="784"/>
      <c r="F33" s="784"/>
      <c r="G33" s="544"/>
      <c r="H33" s="411"/>
      <c r="I33" s="1180" t="s">
        <v>378</v>
      </c>
      <c r="J33" s="1180"/>
      <c r="K33" s="1180"/>
      <c r="L33" s="1180"/>
      <c r="M33" s="1180"/>
      <c r="N33" s="1180"/>
      <c r="O33" s="255"/>
      <c r="P33" s="255"/>
      <c r="Q33" s="716"/>
      <c r="R33" s="1278">
        <f>IF(ZRB!G31=0,"",ZRB!G31)</f>
      </c>
      <c r="S33" s="1278"/>
      <c r="T33" s="1278"/>
      <c r="U33" s="1278"/>
      <c r="V33" s="1279"/>
      <c r="W33" s="266"/>
      <c r="X33" s="320"/>
      <c r="Y33" s="318"/>
      <c r="Z33" s="318"/>
      <c r="AA33" s="311"/>
      <c r="AB33" s="311"/>
      <c r="AC33" s="314"/>
      <c r="AD33" s="314"/>
      <c r="AE33" s="315"/>
      <c r="AF33" s="315"/>
      <c r="AG33" s="315"/>
      <c r="AH33" s="315"/>
      <c r="AI33" s="316"/>
      <c r="AJ33" s="316"/>
      <c r="AK33" s="317"/>
      <c r="AL33" s="317"/>
      <c r="AM33" s="313"/>
      <c r="AN33" s="544"/>
      <c r="AO33" s="544"/>
      <c r="AP33" s="544"/>
      <c r="AQ33" s="544"/>
      <c r="AR33" s="544"/>
      <c r="AS33" s="544"/>
      <c r="AT33" s="544"/>
      <c r="AU33" s="544"/>
      <c r="AV33" s="544"/>
      <c r="AW33" s="544"/>
      <c r="AX33" s="544"/>
      <c r="AY33" s="544"/>
      <c r="AZ33" s="544"/>
      <c r="BA33" s="544"/>
      <c r="BB33" s="544"/>
      <c r="BC33" s="544"/>
      <c r="BD33" s="544"/>
    </row>
    <row r="34" spans="1:56" s="7" customFormat="1" ht="11.25" customHeight="1">
      <c r="A34" s="495"/>
      <c r="B34" s="941"/>
      <c r="C34" s="942"/>
      <c r="D34" s="495"/>
      <c r="E34" s="784"/>
      <c r="F34" s="784"/>
      <c r="G34" s="544"/>
      <c r="H34" s="411"/>
      <c r="I34" s="1180"/>
      <c r="J34" s="1180"/>
      <c r="K34" s="1180"/>
      <c r="L34" s="1180"/>
      <c r="M34" s="1180"/>
      <c r="N34" s="1180"/>
      <c r="O34" s="255"/>
      <c r="P34" s="1181" t="str">
        <f>"( "&amp;ROUND(ZRB!I31*100,2)&amp;"% )"</f>
        <v>( 0% )</v>
      </c>
      <c r="Q34" s="1181"/>
      <c r="R34" s="1278"/>
      <c r="S34" s="1278"/>
      <c r="T34" s="1278"/>
      <c r="U34" s="1278"/>
      <c r="V34" s="1279"/>
      <c r="W34" s="266"/>
      <c r="X34" s="991">
        <f>Grafik_Ertrag!E25</f>
        <v>0</v>
      </c>
      <c r="Y34" s="992"/>
      <c r="Z34" s="992"/>
      <c r="AA34" s="311"/>
      <c r="AB34" s="311"/>
      <c r="AC34" s="314"/>
      <c r="AD34" s="314"/>
      <c r="AE34" s="315"/>
      <c r="AF34" s="315"/>
      <c r="AG34" s="315"/>
      <c r="AH34" s="315"/>
      <c r="AI34" s="316"/>
      <c r="AJ34" s="316"/>
      <c r="AK34" s="317"/>
      <c r="AL34" s="317"/>
      <c r="AM34" s="313"/>
      <c r="AN34" s="544"/>
      <c r="AO34" s="544"/>
      <c r="AP34" s="544"/>
      <c r="AQ34" s="544"/>
      <c r="AR34" s="544"/>
      <c r="AS34" s="544"/>
      <c r="AT34" s="544"/>
      <c r="AU34" s="544"/>
      <c r="AV34" s="544"/>
      <c r="AW34" s="544"/>
      <c r="AX34" s="544"/>
      <c r="AY34" s="544"/>
      <c r="AZ34" s="544"/>
      <c r="BA34" s="544"/>
      <c r="BB34" s="544"/>
      <c r="BC34" s="544"/>
      <c r="BD34" s="544"/>
    </row>
    <row r="35" spans="1:56" s="7" customFormat="1" ht="2.25" customHeight="1">
      <c r="A35" s="495"/>
      <c r="B35" s="941"/>
      <c r="C35" s="942"/>
      <c r="D35" s="495"/>
      <c r="E35" s="784"/>
      <c r="F35" s="784"/>
      <c r="G35" s="544"/>
      <c r="H35" s="504"/>
      <c r="I35" s="717"/>
      <c r="J35" s="505"/>
      <c r="K35" s="505"/>
      <c r="L35" s="505"/>
      <c r="M35" s="505"/>
      <c r="N35" s="505"/>
      <c r="O35" s="505"/>
      <c r="P35" s="505"/>
      <c r="Q35" s="718"/>
      <c r="R35" s="718"/>
      <c r="S35" s="718"/>
      <c r="T35" s="718"/>
      <c r="U35" s="718"/>
      <c r="V35" s="719"/>
      <c r="W35" s="266"/>
      <c r="X35" s="991"/>
      <c r="Y35" s="992"/>
      <c r="Z35" s="992"/>
      <c r="AA35" s="311"/>
      <c r="AB35" s="311"/>
      <c r="AC35" s="314"/>
      <c r="AD35" s="314"/>
      <c r="AE35" s="315"/>
      <c r="AF35" s="315"/>
      <c r="AG35" s="315"/>
      <c r="AH35" s="315"/>
      <c r="AI35" s="316"/>
      <c r="AJ35" s="316"/>
      <c r="AK35" s="317"/>
      <c r="AL35" s="317"/>
      <c r="AM35" s="313"/>
      <c r="AN35" s="544"/>
      <c r="AO35" s="544"/>
      <c r="AP35" s="544"/>
      <c r="AQ35" s="544"/>
      <c r="AR35" s="544"/>
      <c r="AS35" s="544"/>
      <c r="AT35" s="544"/>
      <c r="AU35" s="544"/>
      <c r="AV35" s="544"/>
      <c r="AW35" s="544"/>
      <c r="AX35" s="544"/>
      <c r="AY35" s="544"/>
      <c r="AZ35" s="544"/>
      <c r="BA35" s="544"/>
      <c r="BB35" s="544"/>
      <c r="BC35" s="544"/>
      <c r="BD35" s="544"/>
    </row>
    <row r="36" spans="1:56" s="7" customFormat="1" ht="11.25" customHeight="1">
      <c r="A36" s="495"/>
      <c r="B36" s="941"/>
      <c r="C36" s="942"/>
      <c r="D36" s="495"/>
      <c r="E36" s="784"/>
      <c r="F36" s="784"/>
      <c r="G36" s="544"/>
      <c r="H36" s="661"/>
      <c r="I36" s="661"/>
      <c r="J36" s="661"/>
      <c r="K36" s="661"/>
      <c r="L36" s="661"/>
      <c r="M36" s="661"/>
      <c r="N36" s="661"/>
      <c r="O36" s="661"/>
      <c r="P36" s="661"/>
      <c r="Q36" s="661"/>
      <c r="R36" s="661"/>
      <c r="S36" s="661"/>
      <c r="T36" s="661"/>
      <c r="U36" s="661"/>
      <c r="V36" s="662"/>
      <c r="W36" s="266"/>
      <c r="X36" s="991"/>
      <c r="Y36" s="992"/>
      <c r="Z36" s="992"/>
      <c r="AA36" s="311"/>
      <c r="AB36" s="311"/>
      <c r="AC36" s="314"/>
      <c r="AD36" s="314"/>
      <c r="AE36" s="315"/>
      <c r="AF36" s="315"/>
      <c r="AG36" s="315"/>
      <c r="AH36" s="315"/>
      <c r="AI36" s="316"/>
      <c r="AJ36" s="316"/>
      <c r="AK36" s="317"/>
      <c r="AL36" s="317"/>
      <c r="AM36" s="313"/>
      <c r="AN36" s="544"/>
      <c r="AO36" s="544"/>
      <c r="AP36" s="544"/>
      <c r="AQ36" s="544"/>
      <c r="AR36" s="544"/>
      <c r="AS36" s="544"/>
      <c r="AT36" s="544"/>
      <c r="AU36" s="544"/>
      <c r="AV36" s="544"/>
      <c r="AW36" s="544"/>
      <c r="AX36" s="544"/>
      <c r="AY36" s="544"/>
      <c r="AZ36" s="544"/>
      <c r="BA36" s="544"/>
      <c r="BB36" s="544"/>
      <c r="BC36" s="544"/>
      <c r="BD36" s="544"/>
    </row>
    <row r="37" spans="1:56" s="7" customFormat="1" ht="2.25" customHeight="1">
      <c r="A37" s="495"/>
      <c r="B37" s="941"/>
      <c r="C37" s="942"/>
      <c r="D37" s="495"/>
      <c r="E37" s="784"/>
      <c r="F37" s="784"/>
      <c r="G37" s="544"/>
      <c r="H37" s="278"/>
      <c r="I37" s="279"/>
      <c r="J37" s="279"/>
      <c r="K37" s="279"/>
      <c r="L37" s="279"/>
      <c r="M37" s="279"/>
      <c r="N37" s="279"/>
      <c r="O37" s="279"/>
      <c r="P37" s="280"/>
      <c r="Q37" s="280"/>
      <c r="R37" s="280"/>
      <c r="S37" s="280"/>
      <c r="T37" s="280"/>
      <c r="U37" s="280"/>
      <c r="V37" s="281"/>
      <c r="W37" s="266"/>
      <c r="X37" s="320"/>
      <c r="Y37" s="318"/>
      <c r="Z37" s="318"/>
      <c r="AA37" s="311"/>
      <c r="AB37" s="311"/>
      <c r="AC37" s="314"/>
      <c r="AD37" s="314"/>
      <c r="AE37" s="315"/>
      <c r="AF37" s="315"/>
      <c r="AG37" s="315"/>
      <c r="AH37" s="315"/>
      <c r="AI37" s="316"/>
      <c r="AJ37" s="316"/>
      <c r="AK37" s="317"/>
      <c r="AL37" s="317"/>
      <c r="AM37" s="313"/>
      <c r="AN37" s="544"/>
      <c r="AO37" s="544"/>
      <c r="AP37" s="544"/>
      <c r="AQ37" s="544"/>
      <c r="AR37" s="544"/>
      <c r="AS37" s="544"/>
      <c r="AT37" s="544"/>
      <c r="AU37" s="544"/>
      <c r="AV37" s="544"/>
      <c r="AW37" s="544"/>
      <c r="AX37" s="544"/>
      <c r="AY37" s="544"/>
      <c r="AZ37" s="544"/>
      <c r="BA37" s="544"/>
      <c r="BB37" s="544"/>
      <c r="BC37" s="544"/>
      <c r="BD37" s="544"/>
    </row>
    <row r="38" spans="1:56" s="7" customFormat="1" ht="11.25" customHeight="1">
      <c r="A38" s="495"/>
      <c r="B38" s="941"/>
      <c r="C38" s="942"/>
      <c r="D38" s="495"/>
      <c r="E38" s="784"/>
      <c r="F38" s="784"/>
      <c r="G38" s="544"/>
      <c r="H38" s="961" t="s">
        <v>351</v>
      </c>
      <c r="I38" s="962"/>
      <c r="J38" s="962"/>
      <c r="K38" s="962"/>
      <c r="L38" s="962"/>
      <c r="M38" s="962"/>
      <c r="N38" s="660"/>
      <c r="O38" s="1307">
        <f>IF(ZRB!G6=0,"",ZRB!G57/ZRB!G6)</f>
      </c>
      <c r="P38" s="1307"/>
      <c r="Q38" s="1307"/>
      <c r="R38" s="1276">
        <f>IF(ZRB!G57=0,"",ZRB!G57)</f>
      </c>
      <c r="S38" s="1276"/>
      <c r="T38" s="1276"/>
      <c r="U38" s="1276"/>
      <c r="V38" s="1277"/>
      <c r="W38" s="266"/>
      <c r="X38" s="991">
        <f>Grafik_Ertrag!E26</f>
        <v>0</v>
      </c>
      <c r="Y38" s="992"/>
      <c r="Z38" s="992"/>
      <c r="AA38" s="311"/>
      <c r="AB38" s="311"/>
      <c r="AC38" s="314"/>
      <c r="AD38" s="314"/>
      <c r="AE38" s="315"/>
      <c r="AF38" s="315"/>
      <c r="AG38" s="315"/>
      <c r="AH38" s="315"/>
      <c r="AI38" s="316"/>
      <c r="AJ38" s="316"/>
      <c r="AK38" s="317"/>
      <c r="AL38" s="317"/>
      <c r="AM38" s="313"/>
      <c r="AN38" s="544"/>
      <c r="AO38" s="544"/>
      <c r="AP38" s="544"/>
      <c r="AQ38" s="544"/>
      <c r="AR38" s="544"/>
      <c r="AS38" s="544"/>
      <c r="AT38" s="544"/>
      <c r="AU38" s="544"/>
      <c r="AV38" s="544"/>
      <c r="AW38" s="544"/>
      <c r="AX38" s="544"/>
      <c r="AY38" s="544"/>
      <c r="AZ38" s="544"/>
      <c r="BA38" s="544"/>
      <c r="BB38" s="544"/>
      <c r="BC38" s="544"/>
      <c r="BD38" s="544"/>
    </row>
    <row r="39" spans="1:56" s="7" customFormat="1" ht="2.25" customHeight="1">
      <c r="A39" s="495"/>
      <c r="B39" s="941"/>
      <c r="C39" s="942"/>
      <c r="D39" s="495"/>
      <c r="E39" s="784"/>
      <c r="F39" s="784"/>
      <c r="G39" s="544"/>
      <c r="H39" s="961"/>
      <c r="I39" s="962"/>
      <c r="J39" s="962"/>
      <c r="K39" s="962"/>
      <c r="L39" s="962"/>
      <c r="M39" s="962"/>
      <c r="N39" s="660"/>
      <c r="O39" s="1307"/>
      <c r="P39" s="1307"/>
      <c r="Q39" s="1307"/>
      <c r="R39" s="1276"/>
      <c r="S39" s="1276"/>
      <c r="T39" s="1276"/>
      <c r="U39" s="1276"/>
      <c r="V39" s="1277"/>
      <c r="W39" s="266"/>
      <c r="X39" s="991"/>
      <c r="Y39" s="992"/>
      <c r="Z39" s="992"/>
      <c r="AA39" s="311"/>
      <c r="AB39" s="311"/>
      <c r="AC39" s="314"/>
      <c r="AD39" s="314"/>
      <c r="AE39" s="315"/>
      <c r="AF39" s="315"/>
      <c r="AG39" s="315"/>
      <c r="AH39" s="315"/>
      <c r="AI39" s="316"/>
      <c r="AJ39" s="316"/>
      <c r="AK39" s="317"/>
      <c r="AL39" s="317"/>
      <c r="AM39" s="313"/>
      <c r="AN39" s="544"/>
      <c r="AO39" s="544"/>
      <c r="AP39" s="544"/>
      <c r="AQ39" s="544"/>
      <c r="AR39" s="544"/>
      <c r="AS39" s="544"/>
      <c r="AT39" s="544"/>
      <c r="AU39" s="544"/>
      <c r="AV39" s="544"/>
      <c r="AW39" s="544"/>
      <c r="AX39" s="544"/>
      <c r="AY39" s="544"/>
      <c r="AZ39" s="544"/>
      <c r="BA39" s="544"/>
      <c r="BB39" s="544"/>
      <c r="BC39" s="544"/>
      <c r="BD39" s="544"/>
    </row>
    <row r="40" spans="1:56" s="7" customFormat="1" ht="11.25" customHeight="1">
      <c r="A40" s="495"/>
      <c r="B40" s="941"/>
      <c r="C40" s="942"/>
      <c r="D40" s="495"/>
      <c r="E40" s="785">
        <f>Kalkulation_Eigenstrom!AN11</f>
        <v>1</v>
      </c>
      <c r="F40" s="785"/>
      <c r="G40" s="544"/>
      <c r="H40" s="961"/>
      <c r="I40" s="962"/>
      <c r="J40" s="962"/>
      <c r="K40" s="962"/>
      <c r="L40" s="962"/>
      <c r="M40" s="962"/>
      <c r="N40" s="660"/>
      <c r="O40" s="1307"/>
      <c r="P40" s="1307"/>
      <c r="Q40" s="1307"/>
      <c r="R40" s="1276"/>
      <c r="S40" s="1276"/>
      <c r="T40" s="1276"/>
      <c r="U40" s="1276"/>
      <c r="V40" s="1277"/>
      <c r="W40" s="266"/>
      <c r="X40" s="991"/>
      <c r="Y40" s="992"/>
      <c r="Z40" s="992"/>
      <c r="AA40" s="311"/>
      <c r="AB40" s="311"/>
      <c r="AC40" s="314"/>
      <c r="AD40" s="314"/>
      <c r="AE40" s="315"/>
      <c r="AF40" s="315"/>
      <c r="AG40" s="315"/>
      <c r="AH40" s="315"/>
      <c r="AI40" s="316"/>
      <c r="AJ40" s="316"/>
      <c r="AK40" s="317"/>
      <c r="AL40" s="317"/>
      <c r="AM40" s="313"/>
      <c r="AN40" s="544"/>
      <c r="AO40" s="544"/>
      <c r="AP40" s="544"/>
      <c r="AQ40" s="544"/>
      <c r="AR40" s="544"/>
      <c r="AS40" s="544"/>
      <c r="AT40" s="544"/>
      <c r="AU40" s="544"/>
      <c r="AV40" s="544"/>
      <c r="AW40" s="544"/>
      <c r="AX40" s="544"/>
      <c r="AY40" s="544"/>
      <c r="AZ40" s="544"/>
      <c r="BA40" s="544"/>
      <c r="BB40" s="544"/>
      <c r="BC40" s="544"/>
      <c r="BD40" s="544"/>
    </row>
    <row r="41" spans="1:56" s="7" customFormat="1" ht="2.25" customHeight="1">
      <c r="A41" s="495"/>
      <c r="B41" s="941"/>
      <c r="C41" s="942"/>
      <c r="D41" s="495"/>
      <c r="E41" s="784"/>
      <c r="F41" s="784"/>
      <c r="G41" s="544"/>
      <c r="H41" s="411"/>
      <c r="I41" s="255"/>
      <c r="J41" s="255"/>
      <c r="K41" s="255"/>
      <c r="L41" s="255"/>
      <c r="M41" s="255"/>
      <c r="N41" s="255"/>
      <c r="O41" s="255"/>
      <c r="P41" s="255"/>
      <c r="Q41" s="255"/>
      <c r="R41" s="255"/>
      <c r="S41" s="255"/>
      <c r="T41" s="255"/>
      <c r="U41" s="255"/>
      <c r="V41" s="282"/>
      <c r="W41" s="266"/>
      <c r="X41" s="320"/>
      <c r="Y41" s="318"/>
      <c r="Z41" s="318"/>
      <c r="AA41" s="311"/>
      <c r="AB41" s="311"/>
      <c r="AC41" s="314"/>
      <c r="AD41" s="314"/>
      <c r="AE41" s="315"/>
      <c r="AF41" s="315"/>
      <c r="AG41" s="315"/>
      <c r="AH41" s="315"/>
      <c r="AI41" s="316"/>
      <c r="AJ41" s="316"/>
      <c r="AK41" s="317"/>
      <c r="AL41" s="317"/>
      <c r="AM41" s="313"/>
      <c r="AN41" s="544"/>
      <c r="AO41" s="544"/>
      <c r="AP41" s="544"/>
      <c r="AQ41" s="544"/>
      <c r="AR41" s="544"/>
      <c r="AS41" s="544"/>
      <c r="AT41" s="544"/>
      <c r="AU41" s="544"/>
      <c r="AV41" s="544"/>
      <c r="AW41" s="544"/>
      <c r="AX41" s="544"/>
      <c r="AY41" s="544"/>
      <c r="AZ41" s="544"/>
      <c r="BA41" s="544"/>
      <c r="BB41" s="544"/>
      <c r="BC41" s="544"/>
      <c r="BD41" s="544"/>
    </row>
    <row r="42" spans="1:56" s="7" customFormat="1" ht="11.25" customHeight="1">
      <c r="A42" s="495"/>
      <c r="B42" s="941"/>
      <c r="C42" s="942"/>
      <c r="D42" s="495"/>
      <c r="E42" s="784"/>
      <c r="F42" s="784"/>
      <c r="G42" s="544"/>
      <c r="H42" s="411"/>
      <c r="I42" s="565" t="str">
        <f>""&amp;Kalkulation_Eigenstrom!AP17&amp;""</f>
        <v>PV-Anlage (Module, AC &amp; DC-Kabel, etc.)</v>
      </c>
      <c r="J42" s="253"/>
      <c r="K42" s="253"/>
      <c r="L42" s="253"/>
      <c r="M42" s="253"/>
      <c r="N42" s="253"/>
      <c r="O42" s="253"/>
      <c r="P42" s="253"/>
      <c r="Q42" s="1261">
        <f>IF(ZRB!G36=0,"",ZRB!G36)</f>
      </c>
      <c r="R42" s="1261"/>
      <c r="S42" s="1261"/>
      <c r="T42" s="1261"/>
      <c r="U42" s="1261"/>
      <c r="V42" s="1262"/>
      <c r="W42" s="266"/>
      <c r="X42" s="991">
        <f>Grafik_Ertrag!E27</f>
        <v>0</v>
      </c>
      <c r="Y42" s="992"/>
      <c r="Z42" s="992"/>
      <c r="AA42" s="311"/>
      <c r="AB42" s="311"/>
      <c r="AC42" s="314"/>
      <c r="AD42" s="314"/>
      <c r="AE42" s="315"/>
      <c r="AF42" s="315"/>
      <c r="AG42" s="315"/>
      <c r="AH42" s="315"/>
      <c r="AI42" s="316"/>
      <c r="AJ42" s="316"/>
      <c r="AK42" s="317"/>
      <c r="AL42" s="317"/>
      <c r="AM42" s="313"/>
      <c r="AN42" s="544"/>
      <c r="AO42" s="544"/>
      <c r="AP42" s="544"/>
      <c r="AQ42" s="544"/>
      <c r="AR42" s="544"/>
      <c r="AS42" s="544"/>
      <c r="AT42" s="544"/>
      <c r="AU42" s="544"/>
      <c r="AV42" s="544"/>
      <c r="AW42" s="544"/>
      <c r="AX42" s="544"/>
      <c r="AY42" s="544"/>
      <c r="AZ42" s="544"/>
      <c r="BA42" s="544"/>
      <c r="BB42" s="544"/>
      <c r="BC42" s="544"/>
      <c r="BD42" s="544"/>
    </row>
    <row r="43" spans="1:56" s="7" customFormat="1" ht="2.25" customHeight="1" thickBot="1">
      <c r="A43" s="495"/>
      <c r="B43" s="943"/>
      <c r="C43" s="944"/>
      <c r="D43" s="495"/>
      <c r="E43" s="784"/>
      <c r="F43" s="784"/>
      <c r="G43" s="544"/>
      <c r="H43" s="411"/>
      <c r="I43" s="253"/>
      <c r="J43" s="253"/>
      <c r="K43" s="253"/>
      <c r="L43" s="253"/>
      <c r="M43" s="253"/>
      <c r="N43" s="253"/>
      <c r="O43" s="253"/>
      <c r="P43" s="253"/>
      <c r="Q43" s="253"/>
      <c r="R43" s="253"/>
      <c r="S43" s="253"/>
      <c r="T43" s="253"/>
      <c r="U43" s="253"/>
      <c r="V43" s="690"/>
      <c r="W43" s="266"/>
      <c r="X43" s="991"/>
      <c r="Y43" s="992"/>
      <c r="Z43" s="992"/>
      <c r="AA43" s="311"/>
      <c r="AB43" s="311"/>
      <c r="AC43" s="314"/>
      <c r="AD43" s="314"/>
      <c r="AE43" s="315"/>
      <c r="AF43" s="315"/>
      <c r="AG43" s="315"/>
      <c r="AH43" s="315"/>
      <c r="AI43" s="316"/>
      <c r="AJ43" s="316"/>
      <c r="AK43" s="317"/>
      <c r="AL43" s="317"/>
      <c r="AM43" s="313"/>
      <c r="AN43" s="544"/>
      <c r="AO43" s="544"/>
      <c r="AP43" s="544"/>
      <c r="AQ43" s="544"/>
      <c r="AR43" s="544"/>
      <c r="AS43" s="544"/>
      <c r="AT43" s="544"/>
      <c r="AU43" s="544"/>
      <c r="AV43" s="544"/>
      <c r="AW43" s="544"/>
      <c r="AX43" s="544"/>
      <c r="AY43" s="544"/>
      <c r="AZ43" s="544"/>
      <c r="BA43" s="544"/>
      <c r="BB43" s="544"/>
      <c r="BC43" s="544"/>
      <c r="BD43" s="544"/>
    </row>
    <row r="44" spans="1:56" s="7" customFormat="1" ht="11.25" customHeight="1" thickTop="1">
      <c r="A44" s="495"/>
      <c r="B44" s="497"/>
      <c r="C44" s="495"/>
      <c r="D44" s="495"/>
      <c r="E44" s="784"/>
      <c r="F44" s="784"/>
      <c r="G44" s="544"/>
      <c r="H44" s="411"/>
      <c r="I44" s="565" t="str">
        <f>""&amp;Kalkulation_Eigenstrom!AP19&amp;""</f>
        <v>Wechselrichter</v>
      </c>
      <c r="J44" s="253"/>
      <c r="K44" s="253"/>
      <c r="L44" s="253"/>
      <c r="M44" s="253"/>
      <c r="N44" s="253"/>
      <c r="O44" s="253"/>
      <c r="P44" s="253"/>
      <c r="Q44" s="1261">
        <f>IF(ZRB!G37=0,"",ZRB!G37)</f>
      </c>
      <c r="R44" s="1261"/>
      <c r="S44" s="1261"/>
      <c r="T44" s="1261"/>
      <c r="U44" s="1261"/>
      <c r="V44" s="1262"/>
      <c r="W44" s="266"/>
      <c r="X44" s="991"/>
      <c r="Y44" s="992"/>
      <c r="Z44" s="992"/>
      <c r="AA44" s="311"/>
      <c r="AB44" s="311"/>
      <c r="AC44" s="314"/>
      <c r="AD44" s="314"/>
      <c r="AE44" s="315"/>
      <c r="AF44" s="315"/>
      <c r="AG44" s="315"/>
      <c r="AH44" s="315"/>
      <c r="AI44" s="316"/>
      <c r="AJ44" s="316"/>
      <c r="AK44" s="317"/>
      <c r="AL44" s="317"/>
      <c r="AM44" s="313"/>
      <c r="AN44" s="544"/>
      <c r="AO44" s="544"/>
      <c r="AP44" s="544"/>
      <c r="AQ44" s="544"/>
      <c r="AR44" s="544"/>
      <c r="AS44" s="544"/>
      <c r="AT44" s="544"/>
      <c r="AU44" s="544"/>
      <c r="AV44" s="544"/>
      <c r="AW44" s="544"/>
      <c r="AX44" s="544"/>
      <c r="AY44" s="544"/>
      <c r="AZ44" s="544"/>
      <c r="BA44" s="544"/>
      <c r="BB44" s="544"/>
      <c r="BC44" s="544"/>
      <c r="BD44" s="544"/>
    </row>
    <row r="45" spans="1:56" s="7" customFormat="1" ht="2.25" customHeight="1">
      <c r="A45" s="495"/>
      <c r="B45" s="497"/>
      <c r="C45" s="495"/>
      <c r="D45" s="495"/>
      <c r="E45" s="784"/>
      <c r="F45" s="784"/>
      <c r="G45" s="544"/>
      <c r="H45" s="411"/>
      <c r="I45" s="565"/>
      <c r="J45" s="253"/>
      <c r="K45" s="253"/>
      <c r="L45" s="253"/>
      <c r="M45" s="253"/>
      <c r="N45" s="253"/>
      <c r="O45" s="253"/>
      <c r="P45" s="253"/>
      <c r="Q45" s="253"/>
      <c r="R45" s="253"/>
      <c r="S45" s="253"/>
      <c r="T45" s="253"/>
      <c r="U45" s="253"/>
      <c r="V45" s="690"/>
      <c r="W45" s="266"/>
      <c r="X45" s="320"/>
      <c r="Y45" s="318"/>
      <c r="Z45" s="318"/>
      <c r="AA45" s="311"/>
      <c r="AB45" s="311"/>
      <c r="AC45" s="314"/>
      <c r="AD45" s="314"/>
      <c r="AE45" s="315"/>
      <c r="AF45" s="315"/>
      <c r="AG45" s="315"/>
      <c r="AH45" s="315"/>
      <c r="AI45" s="316"/>
      <c r="AJ45" s="316"/>
      <c r="AK45" s="317"/>
      <c r="AL45" s="317"/>
      <c r="AM45" s="313"/>
      <c r="AN45" s="544"/>
      <c r="AO45" s="544"/>
      <c r="AP45" s="544"/>
      <c r="AQ45" s="544"/>
      <c r="AR45" s="544"/>
      <c r="AS45" s="544"/>
      <c r="AT45" s="544"/>
      <c r="AU45" s="544"/>
      <c r="AV45" s="544"/>
      <c r="AW45" s="544"/>
      <c r="AX45" s="544"/>
      <c r="AY45" s="544"/>
      <c r="AZ45" s="544"/>
      <c r="BA45" s="544"/>
      <c r="BB45" s="544"/>
      <c r="BC45" s="544"/>
      <c r="BD45" s="544"/>
    </row>
    <row r="46" spans="1:56" s="7" customFormat="1" ht="11.25" customHeight="1" thickBot="1">
      <c r="A46" s="495"/>
      <c r="B46" s="497"/>
      <c r="C46" s="495"/>
      <c r="D46" s="495"/>
      <c r="E46" s="784"/>
      <c r="F46" s="784"/>
      <c r="G46" s="544"/>
      <c r="H46" s="411"/>
      <c r="I46" s="565" t="str">
        <f>""&amp;Kalkulation_Eigenstrom!AP21&amp;""</f>
        <v>Unterkonstruktion / Montagegestell</v>
      </c>
      <c r="J46" s="253"/>
      <c r="K46" s="253"/>
      <c r="L46" s="253"/>
      <c r="M46" s="253"/>
      <c r="N46" s="253"/>
      <c r="O46" s="253"/>
      <c r="P46" s="253"/>
      <c r="Q46" s="1261">
        <f>IF(ZRB!G38=0,"",ZRB!G38)</f>
      </c>
      <c r="R46" s="1261"/>
      <c r="S46" s="1261"/>
      <c r="T46" s="1261"/>
      <c r="U46" s="1261"/>
      <c r="V46" s="1262"/>
      <c r="W46" s="266"/>
      <c r="X46" s="991">
        <v>0</v>
      </c>
      <c r="Y46" s="992"/>
      <c r="Z46" s="992"/>
      <c r="AA46" s="311"/>
      <c r="AB46" s="311"/>
      <c r="AC46" s="314"/>
      <c r="AD46" s="314"/>
      <c r="AE46" s="315"/>
      <c r="AF46" s="315"/>
      <c r="AG46" s="315"/>
      <c r="AH46" s="315"/>
      <c r="AI46" s="316"/>
      <c r="AJ46" s="316"/>
      <c r="AK46" s="317"/>
      <c r="AL46" s="317"/>
      <c r="AM46" s="313"/>
      <c r="AN46" s="544"/>
      <c r="AO46" s="544"/>
      <c r="AP46" s="544"/>
      <c r="AQ46" s="544"/>
      <c r="AR46" s="544"/>
      <c r="AS46" s="544"/>
      <c r="AT46" s="544"/>
      <c r="AU46" s="544"/>
      <c r="AV46" s="544"/>
      <c r="AW46" s="544"/>
      <c r="AX46" s="544"/>
      <c r="AY46" s="544"/>
      <c r="AZ46" s="544"/>
      <c r="BA46" s="544"/>
      <c r="BB46" s="544"/>
      <c r="BC46" s="544"/>
      <c r="BD46" s="544"/>
    </row>
    <row r="47" spans="1:56" s="7" customFormat="1" ht="2.25" customHeight="1" thickTop="1">
      <c r="A47" s="495"/>
      <c r="B47" s="939" t="s">
        <v>561</v>
      </c>
      <c r="C47" s="940"/>
      <c r="D47" s="495"/>
      <c r="E47" s="784"/>
      <c r="F47" s="784"/>
      <c r="G47" s="544"/>
      <c r="H47" s="411"/>
      <c r="I47" s="565"/>
      <c r="J47" s="253"/>
      <c r="K47" s="253"/>
      <c r="L47" s="253"/>
      <c r="M47" s="253"/>
      <c r="N47" s="253"/>
      <c r="O47" s="253"/>
      <c r="P47" s="253"/>
      <c r="Q47" s="253"/>
      <c r="R47" s="253"/>
      <c r="S47" s="253"/>
      <c r="T47" s="253"/>
      <c r="U47" s="253"/>
      <c r="V47" s="690"/>
      <c r="W47" s="266"/>
      <c r="X47" s="991"/>
      <c r="Y47" s="992"/>
      <c r="Z47" s="992"/>
      <c r="AA47" s="311"/>
      <c r="AB47" s="311"/>
      <c r="AC47" s="314"/>
      <c r="AD47" s="314"/>
      <c r="AE47" s="315"/>
      <c r="AF47" s="315"/>
      <c r="AG47" s="315"/>
      <c r="AH47" s="315"/>
      <c r="AI47" s="316"/>
      <c r="AJ47" s="316"/>
      <c r="AK47" s="317"/>
      <c r="AL47" s="317"/>
      <c r="AM47" s="313"/>
      <c r="AN47" s="544"/>
      <c r="AO47" s="544"/>
      <c r="AP47" s="544"/>
      <c r="AQ47" s="544"/>
      <c r="AR47" s="544"/>
      <c r="AS47" s="544"/>
      <c r="AT47" s="544"/>
      <c r="AU47" s="544"/>
      <c r="AV47" s="544"/>
      <c r="AW47" s="544"/>
      <c r="AX47" s="544"/>
      <c r="AY47" s="544"/>
      <c r="AZ47" s="544"/>
      <c r="BA47" s="544"/>
      <c r="BB47" s="544"/>
      <c r="BC47" s="544"/>
      <c r="BD47" s="544"/>
    </row>
    <row r="48" spans="1:56" s="7" customFormat="1" ht="11.25" customHeight="1">
      <c r="A48" s="495"/>
      <c r="B48" s="941"/>
      <c r="C48" s="942"/>
      <c r="D48" s="495"/>
      <c r="E48" s="784"/>
      <c r="F48" s="784"/>
      <c r="G48" s="544"/>
      <c r="H48" s="411"/>
      <c r="I48" s="565">
        <f>""&amp;Kalkulation_Eigenstrom!AP23&amp;""</f>
      </c>
      <c r="J48" s="253"/>
      <c r="K48" s="253"/>
      <c r="L48" s="253"/>
      <c r="M48" s="253"/>
      <c r="N48" s="253"/>
      <c r="O48" s="253"/>
      <c r="P48" s="253"/>
      <c r="Q48" s="1261">
        <f>IF(ZRB!G39=0,"",ZRB!G39)</f>
      </c>
      <c r="R48" s="1261"/>
      <c r="S48" s="1261"/>
      <c r="T48" s="1261"/>
      <c r="U48" s="1261"/>
      <c r="V48" s="1262"/>
      <c r="W48" s="266"/>
      <c r="X48" s="991"/>
      <c r="Y48" s="992"/>
      <c r="Z48" s="992"/>
      <c r="AA48" s="1031" t="s">
        <v>133</v>
      </c>
      <c r="AB48" s="1031" t="s">
        <v>135</v>
      </c>
      <c r="AC48" s="1031" t="s">
        <v>151</v>
      </c>
      <c r="AD48" s="1031" t="s">
        <v>137</v>
      </c>
      <c r="AE48" s="1031" t="s">
        <v>138</v>
      </c>
      <c r="AF48" s="1031" t="s">
        <v>139</v>
      </c>
      <c r="AG48" s="1031" t="s">
        <v>140</v>
      </c>
      <c r="AH48" s="1031" t="s">
        <v>141</v>
      </c>
      <c r="AI48" s="1031" t="s">
        <v>142</v>
      </c>
      <c r="AJ48" s="1031" t="s">
        <v>143</v>
      </c>
      <c r="AK48" s="1031" t="s">
        <v>144</v>
      </c>
      <c r="AL48" s="1031" t="s">
        <v>145</v>
      </c>
      <c r="AM48" s="313"/>
      <c r="AN48" s="544"/>
      <c r="AO48" s="544"/>
      <c r="AP48" s="544"/>
      <c r="AQ48" s="544"/>
      <c r="AR48" s="544"/>
      <c r="AS48" s="544"/>
      <c r="AT48" s="544"/>
      <c r="AU48" s="544"/>
      <c r="AV48" s="544"/>
      <c r="AW48" s="544"/>
      <c r="AX48" s="544"/>
      <c r="AY48" s="544"/>
      <c r="AZ48" s="544"/>
      <c r="BA48" s="544"/>
      <c r="BB48" s="544"/>
      <c r="BC48" s="544"/>
      <c r="BD48" s="544"/>
    </row>
    <row r="49" spans="1:56" s="7" customFormat="1" ht="2.25" customHeight="1">
      <c r="A49" s="495"/>
      <c r="B49" s="941"/>
      <c r="C49" s="942"/>
      <c r="D49" s="495"/>
      <c r="E49" s="784"/>
      <c r="F49" s="784"/>
      <c r="G49" s="544"/>
      <c r="H49" s="411"/>
      <c r="I49" s="565"/>
      <c r="J49" s="253"/>
      <c r="K49" s="253"/>
      <c r="L49" s="253"/>
      <c r="M49" s="253"/>
      <c r="N49" s="253"/>
      <c r="O49" s="253"/>
      <c r="P49" s="253"/>
      <c r="Q49" s="253"/>
      <c r="R49" s="253"/>
      <c r="S49" s="253"/>
      <c r="T49" s="253"/>
      <c r="U49" s="253"/>
      <c r="V49" s="690"/>
      <c r="W49" s="266"/>
      <c r="X49" s="991"/>
      <c r="Y49" s="992"/>
      <c r="Z49" s="992"/>
      <c r="AA49" s="1032"/>
      <c r="AB49" s="1032"/>
      <c r="AC49" s="1032"/>
      <c r="AD49" s="1032"/>
      <c r="AE49" s="1032"/>
      <c r="AF49" s="1032"/>
      <c r="AG49" s="1032"/>
      <c r="AH49" s="1032"/>
      <c r="AI49" s="1032"/>
      <c r="AJ49" s="1032"/>
      <c r="AK49" s="1032"/>
      <c r="AL49" s="1032"/>
      <c r="AM49" s="313"/>
      <c r="AN49" s="544"/>
      <c r="AO49" s="544"/>
      <c r="AP49" s="544"/>
      <c r="AQ49" s="544"/>
      <c r="AR49" s="544"/>
      <c r="AS49" s="544"/>
      <c r="AT49" s="544"/>
      <c r="AU49" s="544"/>
      <c r="AV49" s="544"/>
      <c r="AW49" s="544"/>
      <c r="AX49" s="544"/>
      <c r="AY49" s="544"/>
      <c r="AZ49" s="544"/>
      <c r="BA49" s="544"/>
      <c r="BB49" s="544"/>
      <c r="BC49" s="544"/>
      <c r="BD49" s="544"/>
    </row>
    <row r="50" spans="1:56" s="7" customFormat="1" ht="11.25" customHeight="1">
      <c r="A50" s="495"/>
      <c r="B50" s="941"/>
      <c r="C50" s="942"/>
      <c r="D50" s="495"/>
      <c r="E50" s="784"/>
      <c r="F50" s="784"/>
      <c r="G50" s="544"/>
      <c r="H50" s="411"/>
      <c r="I50" s="565">
        <f>""&amp;Kalkulation_Eigenstrom!AP25&amp;""</f>
      </c>
      <c r="J50" s="253"/>
      <c r="K50" s="253"/>
      <c r="L50" s="253"/>
      <c r="M50" s="253"/>
      <c r="N50" s="253"/>
      <c r="O50" s="253"/>
      <c r="P50" s="253"/>
      <c r="Q50" s="1261">
        <f>IF(ZRB!G40=0,"",ZRB!G40)</f>
      </c>
      <c r="R50" s="1261"/>
      <c r="S50" s="1261"/>
      <c r="T50" s="1261"/>
      <c r="U50" s="1261"/>
      <c r="V50" s="1262"/>
      <c r="W50" s="266"/>
      <c r="X50" s="343"/>
      <c r="Y50" s="311"/>
      <c r="Z50" s="311"/>
      <c r="AA50" s="1033"/>
      <c r="AB50" s="1033"/>
      <c r="AC50" s="1033"/>
      <c r="AD50" s="1033"/>
      <c r="AE50" s="1033"/>
      <c r="AF50" s="1033"/>
      <c r="AG50" s="1033"/>
      <c r="AH50" s="1033"/>
      <c r="AI50" s="1033"/>
      <c r="AJ50" s="1033"/>
      <c r="AK50" s="1033"/>
      <c r="AL50" s="1033"/>
      <c r="AM50" s="313"/>
      <c r="AN50" s="544"/>
      <c r="AO50" s="544"/>
      <c r="AP50" s="544"/>
      <c r="AQ50" s="544"/>
      <c r="AR50" s="544"/>
      <c r="AS50" s="544"/>
      <c r="AT50" s="544"/>
      <c r="AU50" s="544"/>
      <c r="AV50" s="544"/>
      <c r="AW50" s="544"/>
      <c r="AX50" s="544"/>
      <c r="AY50" s="544"/>
      <c r="AZ50" s="544"/>
      <c r="BA50" s="544"/>
      <c r="BB50" s="544"/>
      <c r="BC50" s="544"/>
      <c r="BD50" s="544"/>
    </row>
    <row r="51" spans="1:56" s="7" customFormat="1" ht="2.25" customHeight="1">
      <c r="A51" s="495"/>
      <c r="B51" s="941"/>
      <c r="C51" s="942"/>
      <c r="D51" s="495"/>
      <c r="E51" s="784"/>
      <c r="F51" s="784"/>
      <c r="G51" s="544"/>
      <c r="H51" s="411"/>
      <c r="I51" s="565"/>
      <c r="J51" s="253"/>
      <c r="K51" s="253"/>
      <c r="L51" s="253"/>
      <c r="M51" s="253"/>
      <c r="N51" s="253"/>
      <c r="O51" s="253"/>
      <c r="P51" s="253"/>
      <c r="Q51" s="253"/>
      <c r="R51" s="253"/>
      <c r="S51" s="253"/>
      <c r="T51" s="253"/>
      <c r="U51" s="253"/>
      <c r="V51" s="690"/>
      <c r="W51" s="266"/>
      <c r="X51" s="343"/>
      <c r="Y51" s="311"/>
      <c r="Z51" s="311"/>
      <c r="AA51" s="316"/>
      <c r="AB51" s="316"/>
      <c r="AC51" s="316"/>
      <c r="AD51" s="316"/>
      <c r="AE51" s="316"/>
      <c r="AF51" s="316"/>
      <c r="AG51" s="316"/>
      <c r="AH51" s="316"/>
      <c r="AI51" s="316"/>
      <c r="AJ51" s="316"/>
      <c r="AK51" s="316"/>
      <c r="AL51" s="316"/>
      <c r="AM51" s="313"/>
      <c r="AN51" s="544"/>
      <c r="AO51" s="544"/>
      <c r="AP51" s="544"/>
      <c r="AQ51" s="544"/>
      <c r="AR51" s="544"/>
      <c r="AS51" s="544"/>
      <c r="AT51" s="544"/>
      <c r="AU51" s="544"/>
      <c r="AV51" s="544"/>
      <c r="AW51" s="544"/>
      <c r="AX51" s="544"/>
      <c r="AY51" s="544"/>
      <c r="AZ51" s="544"/>
      <c r="BA51" s="544"/>
      <c r="BB51" s="544"/>
      <c r="BC51" s="544"/>
      <c r="BD51" s="544"/>
    </row>
    <row r="52" spans="1:56" s="7" customFormat="1" ht="11.25" customHeight="1">
      <c r="A52" s="495"/>
      <c r="B52" s="941"/>
      <c r="C52" s="942"/>
      <c r="D52" s="495"/>
      <c r="E52" s="784"/>
      <c r="F52" s="784"/>
      <c r="G52" s="544"/>
      <c r="H52" s="411"/>
      <c r="I52" s="565">
        <f>""&amp;Kalkulation_Eigenstrom!AP29&amp;""</f>
      </c>
      <c r="J52" s="253"/>
      <c r="K52" s="253"/>
      <c r="L52" s="253"/>
      <c r="M52" s="253"/>
      <c r="N52" s="253"/>
      <c r="O52" s="253"/>
      <c r="P52" s="253"/>
      <c r="Q52" s="1261">
        <f>IF(ZRB!G49=0,"",ZRB!G49)</f>
      </c>
      <c r="R52" s="1261"/>
      <c r="S52" s="1261"/>
      <c r="T52" s="1261"/>
      <c r="U52" s="1261"/>
      <c r="V52" s="1262"/>
      <c r="W52" s="266"/>
      <c r="X52" s="403"/>
      <c r="Y52" s="420"/>
      <c r="Z52" s="400" t="str">
        <f>Kalkulation_Eigenstrom!X41</f>
        <v>high*</v>
      </c>
      <c r="AA52" s="327">
        <f>Kalkulation_Eigenstrom!Y41</f>
        <v>0</v>
      </c>
      <c r="AB52" s="327">
        <f>Kalkulation_Eigenstrom!Z41</f>
        <v>0</v>
      </c>
      <c r="AC52" s="327">
        <f>Kalkulation_Eigenstrom!AA41</f>
        <v>0</v>
      </c>
      <c r="AD52" s="327">
        <f>Kalkulation_Eigenstrom!AB41</f>
        <v>0</v>
      </c>
      <c r="AE52" s="327">
        <f>Kalkulation_Eigenstrom!AC41</f>
        <v>0</v>
      </c>
      <c r="AF52" s="327">
        <f>Kalkulation_Eigenstrom!AD41</f>
        <v>0</v>
      </c>
      <c r="AG52" s="327">
        <f>Kalkulation_Eigenstrom!AE41</f>
        <v>0</v>
      </c>
      <c r="AH52" s="327">
        <f>Kalkulation_Eigenstrom!AF41</f>
        <v>0</v>
      </c>
      <c r="AI52" s="327">
        <f>Kalkulation_Eigenstrom!AG41</f>
        <v>0</v>
      </c>
      <c r="AJ52" s="327">
        <f>Kalkulation_Eigenstrom!AH41</f>
        <v>0</v>
      </c>
      <c r="AK52" s="327">
        <f>Kalkulation_Eigenstrom!AI41</f>
        <v>0</v>
      </c>
      <c r="AL52" s="327">
        <f>Kalkulation_Eigenstrom!AJ41</f>
        <v>0</v>
      </c>
      <c r="AM52" s="313"/>
      <c r="AN52" s="544"/>
      <c r="AO52" s="544"/>
      <c r="AP52" s="544"/>
      <c r="AQ52" s="544"/>
      <c r="AR52" s="544"/>
      <c r="AS52" s="544"/>
      <c r="AT52" s="544"/>
      <c r="AU52" s="544"/>
      <c r="AV52" s="544"/>
      <c r="AW52" s="544"/>
      <c r="AX52" s="544"/>
      <c r="AY52" s="544"/>
      <c r="AZ52" s="544"/>
      <c r="BA52" s="544"/>
      <c r="BB52" s="544"/>
      <c r="BC52" s="544"/>
      <c r="BD52" s="544"/>
    </row>
    <row r="53" spans="1:56" s="7" customFormat="1" ht="2.25" customHeight="1">
      <c r="A53" s="495"/>
      <c r="B53" s="941"/>
      <c r="C53" s="942"/>
      <c r="D53" s="495"/>
      <c r="E53" s="784"/>
      <c r="F53" s="784"/>
      <c r="G53" s="544"/>
      <c r="H53" s="411"/>
      <c r="I53" s="565"/>
      <c r="J53" s="253"/>
      <c r="K53" s="253"/>
      <c r="L53" s="253"/>
      <c r="M53" s="253"/>
      <c r="N53" s="253"/>
      <c r="O53" s="253"/>
      <c r="P53" s="253"/>
      <c r="Q53" s="253"/>
      <c r="R53" s="253"/>
      <c r="S53" s="253"/>
      <c r="T53" s="253"/>
      <c r="U53" s="253"/>
      <c r="V53" s="690"/>
      <c r="W53" s="266"/>
      <c r="X53" s="404"/>
      <c r="Y53" s="344"/>
      <c r="Z53" s="344"/>
      <c r="AA53" s="681"/>
      <c r="AB53" s="681"/>
      <c r="AC53" s="681"/>
      <c r="AD53" s="681"/>
      <c r="AE53" s="681"/>
      <c r="AF53" s="681"/>
      <c r="AG53" s="681"/>
      <c r="AH53" s="681"/>
      <c r="AI53" s="681"/>
      <c r="AJ53" s="681"/>
      <c r="AK53" s="681"/>
      <c r="AL53" s="681"/>
      <c r="AM53" s="313"/>
      <c r="AN53" s="544"/>
      <c r="AO53" s="544"/>
      <c r="AP53" s="544"/>
      <c r="AQ53" s="544"/>
      <c r="AR53" s="544"/>
      <c r="AS53" s="544"/>
      <c r="AT53" s="544"/>
      <c r="AU53" s="544"/>
      <c r="AV53" s="544"/>
      <c r="AW53" s="544"/>
      <c r="AX53" s="544"/>
      <c r="AY53" s="544"/>
      <c r="AZ53" s="544"/>
      <c r="BA53" s="544"/>
      <c r="BB53" s="544"/>
      <c r="BC53" s="544"/>
      <c r="BD53" s="544"/>
    </row>
    <row r="54" spans="1:56" s="7" customFormat="1" ht="11.25" customHeight="1">
      <c r="A54" s="495"/>
      <c r="B54" s="941"/>
      <c r="C54" s="942"/>
      <c r="D54" s="495"/>
      <c r="E54" s="784"/>
      <c r="F54" s="784"/>
      <c r="G54" s="544"/>
      <c r="H54" s="411"/>
      <c r="I54" s="565">
        <f>""&amp;Kalkulation_Eigenstrom!AP31&amp;""</f>
      </c>
      <c r="J54" s="253"/>
      <c r="K54" s="253"/>
      <c r="L54" s="253"/>
      <c r="M54" s="253"/>
      <c r="N54" s="253"/>
      <c r="O54" s="253"/>
      <c r="P54" s="253"/>
      <c r="Q54" s="1261">
        <f>IF(ZRB!G50=0,"",ZRB!G50)</f>
      </c>
      <c r="R54" s="1261"/>
      <c r="S54" s="1261"/>
      <c r="T54" s="1261"/>
      <c r="U54" s="1261"/>
      <c r="V54" s="1262"/>
      <c r="W54" s="266"/>
      <c r="X54" s="405"/>
      <c r="Y54" s="421"/>
      <c r="Z54" s="417" t="str">
        <f>Kalkulation_Eigenstrom!X43</f>
        <v>Æ *</v>
      </c>
      <c r="AA54" s="342">
        <f>Kalkulation_Eigenstrom!Y43</f>
        <v>0</v>
      </c>
      <c r="AB54" s="342">
        <f>Kalkulation_Eigenstrom!Z43</f>
        <v>0</v>
      </c>
      <c r="AC54" s="342">
        <f>Kalkulation_Eigenstrom!AA43</f>
        <v>0</v>
      </c>
      <c r="AD54" s="342">
        <f>Kalkulation_Eigenstrom!AB43</f>
        <v>0</v>
      </c>
      <c r="AE54" s="342">
        <f>Kalkulation_Eigenstrom!AC43</f>
        <v>0</v>
      </c>
      <c r="AF54" s="342">
        <f>Kalkulation_Eigenstrom!AD43</f>
        <v>0</v>
      </c>
      <c r="AG54" s="342">
        <f>Kalkulation_Eigenstrom!AE43</f>
        <v>0</v>
      </c>
      <c r="AH54" s="342">
        <f>Kalkulation_Eigenstrom!AF43</f>
        <v>0</v>
      </c>
      <c r="AI54" s="342">
        <f>Kalkulation_Eigenstrom!AG43</f>
        <v>0</v>
      </c>
      <c r="AJ54" s="342">
        <f>Kalkulation_Eigenstrom!AH43</f>
        <v>0</v>
      </c>
      <c r="AK54" s="342">
        <f>Kalkulation_Eigenstrom!AI43</f>
        <v>0</v>
      </c>
      <c r="AL54" s="342">
        <f>Kalkulation_Eigenstrom!AJ43</f>
        <v>0</v>
      </c>
      <c r="AM54" s="313"/>
      <c r="AN54" s="544"/>
      <c r="AO54" s="544"/>
      <c r="AP54" s="544"/>
      <c r="AQ54" s="544"/>
      <c r="AR54" s="544"/>
      <c r="AS54" s="544"/>
      <c r="AT54" s="544"/>
      <c r="AU54" s="544"/>
      <c r="AV54" s="544"/>
      <c r="AW54" s="544"/>
      <c r="AX54" s="544"/>
      <c r="AY54" s="544"/>
      <c r="AZ54" s="544"/>
      <c r="BA54" s="544"/>
      <c r="BB54" s="544"/>
      <c r="BC54" s="544"/>
      <c r="BD54" s="544"/>
    </row>
    <row r="55" spans="1:56" s="7" customFormat="1" ht="2.25" customHeight="1">
      <c r="A55" s="495"/>
      <c r="B55" s="941"/>
      <c r="C55" s="942"/>
      <c r="D55" s="495"/>
      <c r="E55" s="784"/>
      <c r="F55" s="784"/>
      <c r="G55" s="544"/>
      <c r="H55" s="411"/>
      <c r="I55" s="565"/>
      <c r="J55" s="253"/>
      <c r="K55" s="253"/>
      <c r="L55" s="253"/>
      <c r="M55" s="253"/>
      <c r="N55" s="253"/>
      <c r="O55" s="253"/>
      <c r="P55" s="253"/>
      <c r="Q55" s="253"/>
      <c r="R55" s="253"/>
      <c r="S55" s="253"/>
      <c r="T55" s="253"/>
      <c r="U55" s="253"/>
      <c r="V55" s="690"/>
      <c r="W55" s="266"/>
      <c r="X55" s="404"/>
      <c r="Y55" s="344"/>
      <c r="Z55" s="344"/>
      <c r="AA55" s="681"/>
      <c r="AB55" s="681"/>
      <c r="AC55" s="681"/>
      <c r="AD55" s="681"/>
      <c r="AE55" s="681"/>
      <c r="AF55" s="681"/>
      <c r="AG55" s="681"/>
      <c r="AH55" s="681"/>
      <c r="AI55" s="681"/>
      <c r="AJ55" s="681"/>
      <c r="AK55" s="681"/>
      <c r="AL55" s="681"/>
      <c r="AM55" s="313"/>
      <c r="AN55" s="544"/>
      <c r="AO55" s="544"/>
      <c r="AP55" s="544"/>
      <c r="AQ55" s="544"/>
      <c r="AR55" s="544"/>
      <c r="AS55" s="544"/>
      <c r="AT55" s="544"/>
      <c r="AU55" s="544"/>
      <c r="AV55" s="544"/>
      <c r="AW55" s="544"/>
      <c r="AX55" s="544"/>
      <c r="AY55" s="544"/>
      <c r="AZ55" s="544"/>
      <c r="BA55" s="544"/>
      <c r="BB55" s="544"/>
      <c r="BC55" s="544"/>
      <c r="BD55" s="544"/>
    </row>
    <row r="56" spans="1:56" s="7" customFormat="1" ht="11.25" customHeight="1">
      <c r="A56" s="495"/>
      <c r="B56" s="941"/>
      <c r="C56" s="942"/>
      <c r="D56" s="495"/>
      <c r="E56" s="784"/>
      <c r="F56" s="784"/>
      <c r="G56" s="544"/>
      <c r="H56" s="411"/>
      <c r="I56" s="565">
        <f>""&amp;Kalkulation_Eigenstrom!AP33&amp;""</f>
      </c>
      <c r="J56" s="253"/>
      <c r="K56" s="253"/>
      <c r="L56" s="253"/>
      <c r="M56" s="253"/>
      <c r="N56" s="253"/>
      <c r="O56" s="253"/>
      <c r="P56" s="253"/>
      <c r="Q56" s="1261">
        <f>IF(ZRB!G51=0,"",ZRB!G51)</f>
      </c>
      <c r="R56" s="1261"/>
      <c r="S56" s="1261"/>
      <c r="T56" s="1261"/>
      <c r="U56" s="1261"/>
      <c r="V56" s="1262"/>
      <c r="W56" s="266"/>
      <c r="X56" s="403"/>
      <c r="Y56" s="420"/>
      <c r="Z56" s="401" t="str">
        <f>Kalkulation_Eigenstrom!X45</f>
        <v>low*</v>
      </c>
      <c r="AA56" s="328">
        <f>Kalkulation_Eigenstrom!Y45</f>
        <v>0</v>
      </c>
      <c r="AB56" s="328">
        <f>Kalkulation_Eigenstrom!Z45</f>
        <v>0</v>
      </c>
      <c r="AC56" s="328">
        <f>Kalkulation_Eigenstrom!AA45</f>
        <v>0</v>
      </c>
      <c r="AD56" s="328">
        <f>Kalkulation_Eigenstrom!AB45</f>
        <v>0</v>
      </c>
      <c r="AE56" s="328">
        <f>Kalkulation_Eigenstrom!AC45</f>
        <v>0</v>
      </c>
      <c r="AF56" s="328">
        <f>Kalkulation_Eigenstrom!AD45</f>
        <v>0</v>
      </c>
      <c r="AG56" s="328">
        <f>Kalkulation_Eigenstrom!AE45</f>
        <v>0</v>
      </c>
      <c r="AH56" s="328">
        <f>Kalkulation_Eigenstrom!AF45</f>
        <v>0</v>
      </c>
      <c r="AI56" s="328">
        <f>Kalkulation_Eigenstrom!AG45</f>
        <v>0</v>
      </c>
      <c r="AJ56" s="328">
        <f>Kalkulation_Eigenstrom!AH45</f>
        <v>0</v>
      </c>
      <c r="AK56" s="328">
        <f>Kalkulation_Eigenstrom!AI45</f>
        <v>0</v>
      </c>
      <c r="AL56" s="328">
        <f>Kalkulation_Eigenstrom!AJ45</f>
        <v>0</v>
      </c>
      <c r="AM56" s="313"/>
      <c r="AN56" s="544"/>
      <c r="AO56" s="544"/>
      <c r="AP56" s="544"/>
      <c r="AQ56" s="544"/>
      <c r="AR56" s="544"/>
      <c r="AS56" s="544"/>
      <c r="AT56" s="544"/>
      <c r="AU56" s="544"/>
      <c r="AV56" s="544"/>
      <c r="AW56" s="544"/>
      <c r="AX56" s="544"/>
      <c r="AY56" s="544"/>
      <c r="AZ56" s="544"/>
      <c r="BA56" s="544"/>
      <c r="BB56" s="544"/>
      <c r="BC56" s="544"/>
      <c r="BD56" s="544"/>
    </row>
    <row r="57" spans="1:56" s="7" customFormat="1" ht="2.25" customHeight="1" thickBot="1">
      <c r="A57" s="495"/>
      <c r="B57" s="943"/>
      <c r="C57" s="944"/>
      <c r="D57" s="495"/>
      <c r="E57" s="784"/>
      <c r="F57" s="784"/>
      <c r="G57" s="544"/>
      <c r="H57" s="504"/>
      <c r="I57" s="664"/>
      <c r="J57" s="664"/>
      <c r="K57" s="664"/>
      <c r="L57" s="664"/>
      <c r="M57" s="664"/>
      <c r="N57" s="664"/>
      <c r="O57" s="664"/>
      <c r="P57" s="664"/>
      <c r="Q57" s="505"/>
      <c r="R57" s="505"/>
      <c r="S57" s="505"/>
      <c r="T57" s="505"/>
      <c r="U57" s="505"/>
      <c r="V57" s="665"/>
      <c r="W57" s="266"/>
      <c r="X57" s="404"/>
      <c r="Y57" s="344"/>
      <c r="Z57" s="344"/>
      <c r="AA57" s="311"/>
      <c r="AB57" s="311"/>
      <c r="AC57" s="314"/>
      <c r="AD57" s="314"/>
      <c r="AE57" s="315"/>
      <c r="AF57" s="315"/>
      <c r="AG57" s="315"/>
      <c r="AH57" s="315"/>
      <c r="AI57" s="316"/>
      <c r="AJ57" s="316"/>
      <c r="AK57" s="317"/>
      <c r="AL57" s="317"/>
      <c r="AM57" s="313"/>
      <c r="AN57" s="544"/>
      <c r="AO57" s="544"/>
      <c r="AP57" s="544"/>
      <c r="AQ57" s="544"/>
      <c r="AR57" s="544"/>
      <c r="AS57" s="544"/>
      <c r="AT57" s="544"/>
      <c r="AU57" s="544"/>
      <c r="AV57" s="544"/>
      <c r="AW57" s="544"/>
      <c r="AX57" s="544"/>
      <c r="AY57" s="544"/>
      <c r="AZ57" s="544"/>
      <c r="BA57" s="544"/>
      <c r="BB57" s="544"/>
      <c r="BC57" s="544"/>
      <c r="BD57" s="544"/>
    </row>
    <row r="58" spans="1:56" s="7" customFormat="1" ht="11.25" customHeight="1" thickTop="1">
      <c r="A58" s="495"/>
      <c r="B58" s="497"/>
      <c r="C58" s="496"/>
      <c r="D58" s="495"/>
      <c r="E58" s="784"/>
      <c r="F58" s="784"/>
      <c r="G58" s="544"/>
      <c r="H58" s="661"/>
      <c r="I58" s="661"/>
      <c r="J58" s="661"/>
      <c r="K58" s="661"/>
      <c r="L58" s="661"/>
      <c r="M58" s="661"/>
      <c r="N58" s="661"/>
      <c r="O58" s="661"/>
      <c r="P58" s="661"/>
      <c r="Q58" s="661"/>
      <c r="R58" s="661"/>
      <c r="S58" s="661"/>
      <c r="T58" s="661"/>
      <c r="U58" s="661"/>
      <c r="V58" s="662"/>
      <c r="W58" s="266"/>
      <c r="X58" s="404"/>
      <c r="Y58" s="344"/>
      <c r="Z58" s="344"/>
      <c r="AA58" s="311"/>
      <c r="AB58" s="311"/>
      <c r="AC58" s="314"/>
      <c r="AD58" s="314"/>
      <c r="AE58" s="315"/>
      <c r="AF58" s="315"/>
      <c r="AG58" s="315"/>
      <c r="AH58" s="315"/>
      <c r="AI58" s="316"/>
      <c r="AJ58" s="316"/>
      <c r="AK58" s="317"/>
      <c r="AL58" s="317"/>
      <c r="AM58" s="313"/>
      <c r="AN58" s="544"/>
      <c r="AO58" s="544"/>
      <c r="AP58" s="544"/>
      <c r="AQ58" s="544"/>
      <c r="AR58" s="544"/>
      <c r="AS58" s="544"/>
      <c r="AT58" s="544"/>
      <c r="AU58" s="544"/>
      <c r="AV58" s="544"/>
      <c r="AW58" s="544"/>
      <c r="AX58" s="544"/>
      <c r="AY58" s="544"/>
      <c r="AZ58" s="544"/>
      <c r="BA58" s="544"/>
      <c r="BB58" s="544"/>
      <c r="BC58" s="544"/>
      <c r="BD58" s="544"/>
    </row>
    <row r="59" spans="1:56" s="7" customFormat="1" ht="2.25" customHeight="1">
      <c r="A59" s="495"/>
      <c r="B59" s="497"/>
      <c r="C59" s="495"/>
      <c r="D59" s="495"/>
      <c r="E59" s="784"/>
      <c r="F59" s="784"/>
      <c r="G59" s="544"/>
      <c r="H59" s="278"/>
      <c r="I59" s="279"/>
      <c r="J59" s="279"/>
      <c r="K59" s="279"/>
      <c r="L59" s="279"/>
      <c r="M59" s="279"/>
      <c r="N59" s="279"/>
      <c r="O59" s="279"/>
      <c r="P59" s="280"/>
      <c r="Q59" s="280"/>
      <c r="R59" s="280"/>
      <c r="S59" s="280"/>
      <c r="T59" s="280"/>
      <c r="U59" s="280"/>
      <c r="V59" s="281"/>
      <c r="W59" s="266"/>
      <c r="X59" s="404"/>
      <c r="Y59" s="344"/>
      <c r="Z59" s="344"/>
      <c r="AA59" s="311"/>
      <c r="AB59" s="311"/>
      <c r="AC59" s="314"/>
      <c r="AD59" s="314"/>
      <c r="AE59" s="315"/>
      <c r="AF59" s="315"/>
      <c r="AG59" s="315"/>
      <c r="AH59" s="315"/>
      <c r="AI59" s="316"/>
      <c r="AJ59" s="316"/>
      <c r="AK59" s="317"/>
      <c r="AL59" s="317"/>
      <c r="AM59" s="313"/>
      <c r="AN59" s="544"/>
      <c r="AO59" s="544"/>
      <c r="AP59" s="544"/>
      <c r="AQ59" s="544"/>
      <c r="AR59" s="544"/>
      <c r="AS59" s="544"/>
      <c r="AT59" s="544"/>
      <c r="AU59" s="544"/>
      <c r="AV59" s="544"/>
      <c r="AW59" s="544"/>
      <c r="AX59" s="544"/>
      <c r="AY59" s="544"/>
      <c r="AZ59" s="544"/>
      <c r="BA59" s="544"/>
      <c r="BB59" s="544"/>
      <c r="BC59" s="544"/>
      <c r="BD59" s="544"/>
    </row>
    <row r="60" spans="1:56" s="7" customFormat="1" ht="11.25" customHeight="1" thickBot="1">
      <c r="A60" s="495"/>
      <c r="B60" s="497"/>
      <c r="C60" s="496"/>
      <c r="D60" s="495"/>
      <c r="E60" s="784"/>
      <c r="F60" s="784"/>
      <c r="G60" s="544"/>
      <c r="H60" s="961" t="s">
        <v>475</v>
      </c>
      <c r="I60" s="962"/>
      <c r="J60" s="962"/>
      <c r="K60" s="962"/>
      <c r="L60" s="962"/>
      <c r="M60" s="962"/>
      <c r="N60" s="660"/>
      <c r="O60" s="660"/>
      <c r="P60" s="660"/>
      <c r="Q60" s="1276">
        <f>IF(ZRB!G79=0,"",ZRB!G79)</f>
      </c>
      <c r="R60" s="1276"/>
      <c r="S60" s="1276"/>
      <c r="T60" s="1276"/>
      <c r="U60" s="1276"/>
      <c r="V60" s="1277"/>
      <c r="W60" s="266"/>
      <c r="X60" s="406"/>
      <c r="Y60" s="422">
        <f>Kalkulation_Eigenstrom!W49</f>
      </c>
      <c r="Z60" s="1083">
        <f>Kalkulation_Eigenstrom!X49</f>
      </c>
      <c r="AA60" s="1083">
        <f>Kalkulation_Eigenstrom!Y49</f>
        <v>0</v>
      </c>
      <c r="AB60" s="1083">
        <f>Kalkulation_Eigenstrom!Z49</f>
        <v>0</v>
      </c>
      <c r="AC60" s="1083">
        <f>Kalkulation_Eigenstrom!AA49</f>
        <v>0</v>
      </c>
      <c r="AD60" s="1083">
        <f>Kalkulation_Eigenstrom!AB49</f>
        <v>0</v>
      </c>
      <c r="AE60" s="1083">
        <f>Kalkulation_Eigenstrom!AC49</f>
        <v>0</v>
      </c>
      <c r="AF60" s="1083">
        <f>Kalkulation_Eigenstrom!AD49</f>
        <v>0</v>
      </c>
      <c r="AG60" s="1083">
        <f>Kalkulation_Eigenstrom!AE49</f>
        <v>0</v>
      </c>
      <c r="AH60" s="1083">
        <f>Kalkulation_Eigenstrom!AF49</f>
        <v>0</v>
      </c>
      <c r="AI60" s="1083">
        <f>Kalkulation_Eigenstrom!AG49</f>
        <v>0</v>
      </c>
      <c r="AJ60" s="1083">
        <f>Kalkulation_Eigenstrom!AH49</f>
        <v>0</v>
      </c>
      <c r="AK60" s="1083">
        <f>Kalkulation_Eigenstrom!AI49</f>
        <v>0</v>
      </c>
      <c r="AL60" s="1083">
        <f>Kalkulation_Eigenstrom!AJ49</f>
        <v>0</v>
      </c>
      <c r="AM60" s="1084">
        <f>Kalkulation_Eigenstrom!AK49</f>
        <v>0</v>
      </c>
      <c r="AN60" s="544"/>
      <c r="AO60" s="544"/>
      <c r="AP60" s="544"/>
      <c r="AQ60" s="544"/>
      <c r="AR60" s="544"/>
      <c r="AS60" s="544"/>
      <c r="AT60" s="544"/>
      <c r="AU60" s="544"/>
      <c r="AV60" s="544"/>
      <c r="AW60" s="544"/>
      <c r="AX60" s="544"/>
      <c r="AY60" s="544"/>
      <c r="AZ60" s="544"/>
      <c r="BA60" s="544"/>
      <c r="BB60" s="544"/>
      <c r="BC60" s="544"/>
      <c r="BD60" s="544"/>
    </row>
    <row r="61" spans="1:56" s="7" customFormat="1" ht="2.25" customHeight="1" thickTop="1">
      <c r="A61" s="495"/>
      <c r="B61" s="1102" t="s">
        <v>368</v>
      </c>
      <c r="C61" s="1103"/>
      <c r="D61" s="495"/>
      <c r="E61" s="784"/>
      <c r="F61" s="784"/>
      <c r="G61" s="544"/>
      <c r="H61" s="961"/>
      <c r="I61" s="962"/>
      <c r="J61" s="962"/>
      <c r="K61" s="962"/>
      <c r="L61" s="962"/>
      <c r="M61" s="962"/>
      <c r="N61" s="660"/>
      <c r="O61" s="660"/>
      <c r="P61" s="660"/>
      <c r="Q61" s="1276"/>
      <c r="R61" s="1276"/>
      <c r="S61" s="1276"/>
      <c r="T61" s="1276"/>
      <c r="U61" s="1276"/>
      <c r="V61" s="1277"/>
      <c r="W61" s="266"/>
      <c r="X61" s="407"/>
      <c r="Y61" s="423"/>
      <c r="Z61" s="1083">
        <f>Kalkulation_Eigenstrom!X50</f>
        <v>0</v>
      </c>
      <c r="AA61" s="1083">
        <f>Kalkulation_Eigenstrom!Y50</f>
        <v>0</v>
      </c>
      <c r="AB61" s="1083">
        <f>Kalkulation_Eigenstrom!Z50</f>
        <v>0</v>
      </c>
      <c r="AC61" s="1083">
        <f>Kalkulation_Eigenstrom!AA50</f>
        <v>0</v>
      </c>
      <c r="AD61" s="1083">
        <f>Kalkulation_Eigenstrom!AB50</f>
        <v>0</v>
      </c>
      <c r="AE61" s="1083">
        <f>Kalkulation_Eigenstrom!AC50</f>
        <v>0</v>
      </c>
      <c r="AF61" s="1083">
        <f>Kalkulation_Eigenstrom!AD50</f>
        <v>0</v>
      </c>
      <c r="AG61" s="1083">
        <f>Kalkulation_Eigenstrom!AE50</f>
        <v>0</v>
      </c>
      <c r="AH61" s="1083">
        <f>Kalkulation_Eigenstrom!AF50</f>
        <v>0</v>
      </c>
      <c r="AI61" s="1083">
        <f>Kalkulation_Eigenstrom!AG50</f>
        <v>0</v>
      </c>
      <c r="AJ61" s="1083">
        <f>Kalkulation_Eigenstrom!AH50</f>
        <v>0</v>
      </c>
      <c r="AK61" s="1083">
        <f>Kalkulation_Eigenstrom!AI50</f>
        <v>0</v>
      </c>
      <c r="AL61" s="1083">
        <f>Kalkulation_Eigenstrom!AJ50</f>
        <v>0</v>
      </c>
      <c r="AM61" s="1084">
        <f>Kalkulation_Eigenstrom!AK50</f>
        <v>0</v>
      </c>
      <c r="AN61" s="544"/>
      <c r="AO61" s="544"/>
      <c r="AP61" s="544"/>
      <c r="AQ61" s="544"/>
      <c r="AR61" s="544"/>
      <c r="AS61" s="544"/>
      <c r="AT61" s="544"/>
      <c r="AU61" s="544"/>
      <c r="AV61" s="544"/>
      <c r="AW61" s="544"/>
      <c r="AX61" s="544"/>
      <c r="AY61" s="544"/>
      <c r="AZ61" s="544"/>
      <c r="BA61" s="544"/>
      <c r="BB61" s="544"/>
      <c r="BC61" s="544"/>
      <c r="BD61" s="544"/>
    </row>
    <row r="62" spans="1:56" s="7" customFormat="1" ht="11.25" customHeight="1">
      <c r="A62" s="495"/>
      <c r="B62" s="1104"/>
      <c r="C62" s="1105"/>
      <c r="D62" s="495"/>
      <c r="E62" s="784"/>
      <c r="F62" s="784"/>
      <c r="G62" s="544"/>
      <c r="H62" s="961"/>
      <c r="I62" s="962"/>
      <c r="J62" s="962"/>
      <c r="K62" s="962"/>
      <c r="L62" s="962"/>
      <c r="M62" s="962"/>
      <c r="N62" s="660"/>
      <c r="O62" s="660"/>
      <c r="P62" s="660"/>
      <c r="Q62" s="1276"/>
      <c r="R62" s="1276"/>
      <c r="S62" s="1276"/>
      <c r="T62" s="1276"/>
      <c r="U62" s="1276"/>
      <c r="V62" s="1277"/>
      <c r="W62" s="266"/>
      <c r="X62" s="408"/>
      <c r="Y62" s="308"/>
      <c r="Z62" s="1083">
        <f>Kalkulation_Eigenstrom!X51</f>
      </c>
      <c r="AA62" s="1083">
        <f>Kalkulation_Eigenstrom!Y51</f>
        <v>0</v>
      </c>
      <c r="AB62" s="1083">
        <f>Kalkulation_Eigenstrom!Z51</f>
        <v>0</v>
      </c>
      <c r="AC62" s="1083">
        <f>Kalkulation_Eigenstrom!AA51</f>
        <v>0</v>
      </c>
      <c r="AD62" s="1083">
        <f>Kalkulation_Eigenstrom!AB51</f>
        <v>0</v>
      </c>
      <c r="AE62" s="1083">
        <f>Kalkulation_Eigenstrom!AC51</f>
        <v>0</v>
      </c>
      <c r="AF62" s="1083">
        <f>Kalkulation_Eigenstrom!AD51</f>
        <v>0</v>
      </c>
      <c r="AG62" s="1083">
        <f>Kalkulation_Eigenstrom!AE51</f>
        <v>0</v>
      </c>
      <c r="AH62" s="1083">
        <f>Kalkulation_Eigenstrom!AF51</f>
        <v>0</v>
      </c>
      <c r="AI62" s="1083">
        <f>Kalkulation_Eigenstrom!AG51</f>
        <v>0</v>
      </c>
      <c r="AJ62" s="1083">
        <f>Kalkulation_Eigenstrom!AH51</f>
        <v>0</v>
      </c>
      <c r="AK62" s="1083">
        <f>Kalkulation_Eigenstrom!AI51</f>
        <v>0</v>
      </c>
      <c r="AL62" s="1083">
        <f>Kalkulation_Eigenstrom!AJ51</f>
        <v>0</v>
      </c>
      <c r="AM62" s="1084">
        <f>Kalkulation_Eigenstrom!AK51</f>
        <v>0</v>
      </c>
      <c r="AN62" s="544"/>
      <c r="AO62" s="544"/>
      <c r="AP62" s="544"/>
      <c r="AQ62" s="544"/>
      <c r="AR62" s="544"/>
      <c r="AS62" s="544"/>
      <c r="AT62" s="544"/>
      <c r="AU62" s="544"/>
      <c r="AV62" s="544"/>
      <c r="AW62" s="544"/>
      <c r="AX62" s="544"/>
      <c r="AY62" s="544"/>
      <c r="AZ62" s="544"/>
      <c r="BA62" s="544"/>
      <c r="BB62" s="544"/>
      <c r="BC62" s="544"/>
      <c r="BD62" s="544"/>
    </row>
    <row r="63" spans="1:56" s="7" customFormat="1" ht="2.25" customHeight="1">
      <c r="A63" s="495"/>
      <c r="B63" s="1104"/>
      <c r="C63" s="1105"/>
      <c r="D63" s="495"/>
      <c r="E63" s="784"/>
      <c r="F63" s="784"/>
      <c r="G63" s="544"/>
      <c r="H63" s="411"/>
      <c r="I63" s="1264" t="s">
        <v>316</v>
      </c>
      <c r="J63" s="1264"/>
      <c r="K63" s="1264"/>
      <c r="L63" s="1264"/>
      <c r="M63" s="1264"/>
      <c r="N63" s="1264"/>
      <c r="O63" s="1264"/>
      <c r="P63" s="1264"/>
      <c r="Q63" s="1264"/>
      <c r="R63" s="255"/>
      <c r="S63" s="255"/>
      <c r="T63" s="255"/>
      <c r="U63" s="255"/>
      <c r="V63" s="282"/>
      <c r="W63" s="166"/>
      <c r="X63" s="407"/>
      <c r="Y63" s="423"/>
      <c r="Z63" s="1083">
        <f>Kalkulation_Eigenstrom!X52</f>
        <v>0</v>
      </c>
      <c r="AA63" s="1083">
        <f>Kalkulation_Eigenstrom!Y52</f>
        <v>0</v>
      </c>
      <c r="AB63" s="1083">
        <f>Kalkulation_Eigenstrom!Z52</f>
        <v>0</v>
      </c>
      <c r="AC63" s="1083">
        <f>Kalkulation_Eigenstrom!AA52</f>
        <v>0</v>
      </c>
      <c r="AD63" s="1083">
        <f>Kalkulation_Eigenstrom!AB52</f>
        <v>0</v>
      </c>
      <c r="AE63" s="1083">
        <f>Kalkulation_Eigenstrom!AC52</f>
        <v>0</v>
      </c>
      <c r="AF63" s="1083">
        <f>Kalkulation_Eigenstrom!AD52</f>
        <v>0</v>
      </c>
      <c r="AG63" s="1083">
        <f>Kalkulation_Eigenstrom!AE52</f>
        <v>0</v>
      </c>
      <c r="AH63" s="1083">
        <f>Kalkulation_Eigenstrom!AF52</f>
        <v>0</v>
      </c>
      <c r="AI63" s="1083">
        <f>Kalkulation_Eigenstrom!AG52</f>
        <v>0</v>
      </c>
      <c r="AJ63" s="1083">
        <f>Kalkulation_Eigenstrom!AH52</f>
        <v>0</v>
      </c>
      <c r="AK63" s="1083">
        <f>Kalkulation_Eigenstrom!AI52</f>
        <v>0</v>
      </c>
      <c r="AL63" s="1083">
        <f>Kalkulation_Eigenstrom!AJ52</f>
        <v>0</v>
      </c>
      <c r="AM63" s="1084">
        <f>Kalkulation_Eigenstrom!AK52</f>
        <v>0</v>
      </c>
      <c r="AN63" s="544"/>
      <c r="AO63" s="544"/>
      <c r="AP63" s="544"/>
      <c r="AQ63" s="544"/>
      <c r="AR63" s="544"/>
      <c r="AS63" s="544"/>
      <c r="AT63" s="544"/>
      <c r="AU63" s="544"/>
      <c r="AV63" s="544"/>
      <c r="AW63" s="544"/>
      <c r="AX63" s="544"/>
      <c r="AY63" s="544"/>
      <c r="AZ63" s="544"/>
      <c r="BA63" s="544"/>
      <c r="BB63" s="544"/>
      <c r="BC63" s="544"/>
      <c r="BD63" s="544"/>
    </row>
    <row r="64" spans="1:56" s="7" customFormat="1" ht="11.25" customHeight="1">
      <c r="A64" s="495"/>
      <c r="B64" s="1104"/>
      <c r="C64" s="1105"/>
      <c r="D64" s="495"/>
      <c r="E64" s="784"/>
      <c r="F64" s="784"/>
      <c r="G64" s="544"/>
      <c r="H64" s="411"/>
      <c r="I64" s="1264"/>
      <c r="J64" s="1264"/>
      <c r="K64" s="1264"/>
      <c r="L64" s="1264"/>
      <c r="M64" s="1264"/>
      <c r="N64" s="1264"/>
      <c r="O64" s="1264"/>
      <c r="P64" s="1264"/>
      <c r="Q64" s="1264"/>
      <c r="R64" s="1284" t="s">
        <v>6</v>
      </c>
      <c r="S64" s="1284"/>
      <c r="T64" s="700"/>
      <c r="U64" s="700"/>
      <c r="V64" s="701"/>
      <c r="W64" s="166"/>
      <c r="X64" s="408"/>
      <c r="Y64" s="308"/>
      <c r="Z64" s="1052">
        <f>Kalkulation_Eigenstrom!X53</f>
      </c>
      <c r="AA64" s="1052">
        <f>Kalkulation_Eigenstrom!Y53</f>
        <v>0</v>
      </c>
      <c r="AB64" s="1052">
        <f>Kalkulation_Eigenstrom!Z53</f>
        <v>0</v>
      </c>
      <c r="AC64" s="1052">
        <f>Kalkulation_Eigenstrom!AA53</f>
        <v>0</v>
      </c>
      <c r="AD64" s="1052">
        <f>Kalkulation_Eigenstrom!AB53</f>
        <v>0</v>
      </c>
      <c r="AE64" s="1052">
        <f>Kalkulation_Eigenstrom!AC53</f>
        <v>0</v>
      </c>
      <c r="AF64" s="1052">
        <f>Kalkulation_Eigenstrom!AD53</f>
        <v>0</v>
      </c>
      <c r="AG64" s="1052">
        <f>Kalkulation_Eigenstrom!AE53</f>
        <v>0</v>
      </c>
      <c r="AH64" s="1052">
        <f>Kalkulation_Eigenstrom!AF53</f>
        <v>0</v>
      </c>
      <c r="AI64" s="1052">
        <f>Kalkulation_Eigenstrom!AG53</f>
        <v>0</v>
      </c>
      <c r="AJ64" s="1052">
        <f>Kalkulation_Eigenstrom!AH53</f>
        <v>0</v>
      </c>
      <c r="AK64" s="1052">
        <f>Kalkulation_Eigenstrom!AI53</f>
        <v>0</v>
      </c>
      <c r="AL64" s="1052">
        <f>Kalkulation_Eigenstrom!AJ53</f>
        <v>0</v>
      </c>
      <c r="AM64" s="1053">
        <f>Kalkulation_Eigenstrom!AK53</f>
        <v>0</v>
      </c>
      <c r="AN64" s="544"/>
      <c r="AO64" s="544"/>
      <c r="AP64" s="544"/>
      <c r="AQ64" s="544"/>
      <c r="AR64" s="544"/>
      <c r="AS64" s="544"/>
      <c r="AT64" s="544"/>
      <c r="AU64" s="544"/>
      <c r="AV64" s="544"/>
      <c r="AW64" s="544"/>
      <c r="AX64" s="544"/>
      <c r="AY64" s="544"/>
      <c r="AZ64" s="544"/>
      <c r="BA64" s="544"/>
      <c r="BB64" s="544"/>
      <c r="BC64" s="544"/>
      <c r="BD64" s="544"/>
    </row>
    <row r="65" spans="1:56" s="7" customFormat="1" ht="2.25" customHeight="1" thickBot="1">
      <c r="A65" s="495"/>
      <c r="B65" s="1057" t="s">
        <v>364</v>
      </c>
      <c r="C65" s="1058"/>
      <c r="D65" s="495"/>
      <c r="E65" s="784"/>
      <c r="F65" s="784"/>
      <c r="G65" s="544"/>
      <c r="H65" s="411"/>
      <c r="I65" s="253"/>
      <c r="J65" s="253"/>
      <c r="K65" s="253"/>
      <c r="L65" s="253"/>
      <c r="M65" s="253"/>
      <c r="N65" s="253"/>
      <c r="O65" s="253"/>
      <c r="P65" s="253"/>
      <c r="Q65" s="253"/>
      <c r="R65" s="252"/>
      <c r="S65" s="252"/>
      <c r="T65" s="253"/>
      <c r="U65" s="253"/>
      <c r="V65" s="690"/>
      <c r="W65" s="166"/>
      <c r="X65" s="407"/>
      <c r="Y65" s="423"/>
      <c r="Z65" s="1052">
        <f>Kalkulation_Eigenstrom!X54</f>
        <v>0</v>
      </c>
      <c r="AA65" s="1052">
        <f>Kalkulation_Eigenstrom!Y54</f>
        <v>0</v>
      </c>
      <c r="AB65" s="1052">
        <f>Kalkulation_Eigenstrom!Z54</f>
        <v>0</v>
      </c>
      <c r="AC65" s="1052">
        <f>Kalkulation_Eigenstrom!AA54</f>
        <v>0</v>
      </c>
      <c r="AD65" s="1052">
        <f>Kalkulation_Eigenstrom!AB54</f>
        <v>0</v>
      </c>
      <c r="AE65" s="1052">
        <f>Kalkulation_Eigenstrom!AC54</f>
        <v>0</v>
      </c>
      <c r="AF65" s="1052">
        <f>Kalkulation_Eigenstrom!AD54</f>
        <v>0</v>
      </c>
      <c r="AG65" s="1052">
        <f>Kalkulation_Eigenstrom!AE54</f>
        <v>0</v>
      </c>
      <c r="AH65" s="1052">
        <f>Kalkulation_Eigenstrom!AF54</f>
        <v>0</v>
      </c>
      <c r="AI65" s="1052">
        <f>Kalkulation_Eigenstrom!AG54</f>
        <v>0</v>
      </c>
      <c r="AJ65" s="1052">
        <f>Kalkulation_Eigenstrom!AH54</f>
        <v>0</v>
      </c>
      <c r="AK65" s="1052">
        <f>Kalkulation_Eigenstrom!AI54</f>
        <v>0</v>
      </c>
      <c r="AL65" s="1052">
        <f>Kalkulation_Eigenstrom!AJ54</f>
        <v>0</v>
      </c>
      <c r="AM65" s="1053">
        <f>Kalkulation_Eigenstrom!AK54</f>
        <v>0</v>
      </c>
      <c r="AN65" s="544"/>
      <c r="AO65" s="544"/>
      <c r="AP65" s="544"/>
      <c r="AQ65" s="544"/>
      <c r="AR65" s="544"/>
      <c r="AS65" s="544"/>
      <c r="AT65" s="544"/>
      <c r="AU65" s="544"/>
      <c r="AV65" s="544"/>
      <c r="AW65" s="544"/>
      <c r="AX65" s="544"/>
      <c r="AY65" s="544"/>
      <c r="AZ65" s="544"/>
      <c r="BA65" s="544"/>
      <c r="BB65" s="544"/>
      <c r="BC65" s="544"/>
      <c r="BD65" s="544"/>
    </row>
    <row r="66" spans="1:56" s="7" customFormat="1" ht="11.25" customHeight="1" thickTop="1">
      <c r="A66" s="495"/>
      <c r="B66" s="497"/>
      <c r="C66" s="496"/>
      <c r="D66" s="495"/>
      <c r="E66" s="784"/>
      <c r="F66" s="784"/>
      <c r="G66" s="544"/>
      <c r="H66" s="411"/>
      <c r="I66" s="691" t="str">
        <f>""&amp;Kalkulation_Eigenstrom!AP43&amp;""</f>
        <v>AfA: PV-Anlage (Module, AC &amp; DC-Kabel, etc.)</v>
      </c>
      <c r="J66" s="253"/>
      <c r="K66" s="253"/>
      <c r="L66" s="253"/>
      <c r="M66" s="253"/>
      <c r="N66" s="253"/>
      <c r="O66" s="253"/>
      <c r="P66" s="253"/>
      <c r="Q66" s="711"/>
      <c r="R66" s="1268">
        <f>IF(ZRB!F43=0,"",ZRB!F43)</f>
        <v>20</v>
      </c>
      <c r="S66" s="1268"/>
      <c r="T66" s="1261">
        <f>IF(ZRB!G43=0,"",ZRB!G43)</f>
      </c>
      <c r="U66" s="1261"/>
      <c r="V66" s="1262"/>
      <c r="W66" s="166"/>
      <c r="X66" s="408"/>
      <c r="Y66" s="308"/>
      <c r="Z66" s="1059">
        <f>Kalkulation_Eigenstrom!X55</f>
      </c>
      <c r="AA66" s="1059">
        <f>Kalkulation_Eigenstrom!Y55</f>
        <v>0</v>
      </c>
      <c r="AB66" s="1059">
        <f>Kalkulation_Eigenstrom!Z55</f>
        <v>0</v>
      </c>
      <c r="AC66" s="1059">
        <f>Kalkulation_Eigenstrom!AA55</f>
        <v>0</v>
      </c>
      <c r="AD66" s="1059">
        <f>Kalkulation_Eigenstrom!AB55</f>
        <v>0</v>
      </c>
      <c r="AE66" s="1059">
        <f>Kalkulation_Eigenstrom!AC55</f>
        <v>0</v>
      </c>
      <c r="AF66" s="1059">
        <f>Kalkulation_Eigenstrom!AD55</f>
        <v>0</v>
      </c>
      <c r="AG66" s="1059">
        <f>Kalkulation_Eigenstrom!AE55</f>
        <v>0</v>
      </c>
      <c r="AH66" s="1059">
        <f>Kalkulation_Eigenstrom!AF55</f>
        <v>0</v>
      </c>
      <c r="AI66" s="1059">
        <f>Kalkulation_Eigenstrom!AG55</f>
        <v>0</v>
      </c>
      <c r="AJ66" s="1059">
        <f>Kalkulation_Eigenstrom!AH55</f>
        <v>0</v>
      </c>
      <c r="AK66" s="1059">
        <f>Kalkulation_Eigenstrom!AI55</f>
        <v>0</v>
      </c>
      <c r="AL66" s="1059">
        <f>Kalkulation_Eigenstrom!AJ55</f>
        <v>0</v>
      </c>
      <c r="AM66" s="1060">
        <f>Kalkulation_Eigenstrom!AK55</f>
        <v>0</v>
      </c>
      <c r="AN66" s="544"/>
      <c r="AO66" s="544"/>
      <c r="AP66" s="544"/>
      <c r="AQ66" s="544"/>
      <c r="AR66" s="544"/>
      <c r="AS66" s="544"/>
      <c r="AT66" s="544"/>
      <c r="AU66" s="544"/>
      <c r="AV66" s="544"/>
      <c r="AW66" s="544"/>
      <c r="AX66" s="544"/>
      <c r="AY66" s="544"/>
      <c r="AZ66" s="544"/>
      <c r="BA66" s="544"/>
      <c r="BB66" s="544"/>
      <c r="BC66" s="544"/>
      <c r="BD66" s="544"/>
    </row>
    <row r="67" spans="1:56" s="7" customFormat="1" ht="2.25" customHeight="1">
      <c r="A67" s="495"/>
      <c r="B67" s="495"/>
      <c r="C67" s="495"/>
      <c r="D67" s="495"/>
      <c r="E67" s="784"/>
      <c r="F67" s="784"/>
      <c r="G67" s="544"/>
      <c r="H67" s="411"/>
      <c r="I67" s="692"/>
      <c r="J67" s="253"/>
      <c r="K67" s="253"/>
      <c r="L67" s="253"/>
      <c r="M67" s="253"/>
      <c r="N67" s="253"/>
      <c r="O67" s="253"/>
      <c r="P67" s="253"/>
      <c r="Q67" s="253"/>
      <c r="R67" s="252"/>
      <c r="S67" s="252"/>
      <c r="T67" s="253"/>
      <c r="U67" s="253"/>
      <c r="V67" s="690"/>
      <c r="W67" s="166"/>
      <c r="X67" s="409"/>
      <c r="Y67" s="309"/>
      <c r="Z67" s="1061">
        <f>Kalkulation_Eigenstrom!X56</f>
        <v>0</v>
      </c>
      <c r="AA67" s="1061">
        <f>Kalkulation_Eigenstrom!Y56</f>
        <v>0</v>
      </c>
      <c r="AB67" s="1061">
        <f>Kalkulation_Eigenstrom!Z56</f>
        <v>0</v>
      </c>
      <c r="AC67" s="1061">
        <f>Kalkulation_Eigenstrom!AA56</f>
        <v>0</v>
      </c>
      <c r="AD67" s="1061">
        <f>Kalkulation_Eigenstrom!AB56</f>
        <v>0</v>
      </c>
      <c r="AE67" s="1061">
        <f>Kalkulation_Eigenstrom!AC56</f>
        <v>0</v>
      </c>
      <c r="AF67" s="1061">
        <f>Kalkulation_Eigenstrom!AD56</f>
        <v>0</v>
      </c>
      <c r="AG67" s="1061">
        <f>Kalkulation_Eigenstrom!AE56</f>
        <v>0</v>
      </c>
      <c r="AH67" s="1061">
        <f>Kalkulation_Eigenstrom!AF56</f>
        <v>0</v>
      </c>
      <c r="AI67" s="1061">
        <f>Kalkulation_Eigenstrom!AG56</f>
        <v>0</v>
      </c>
      <c r="AJ67" s="1061">
        <f>Kalkulation_Eigenstrom!AH56</f>
        <v>0</v>
      </c>
      <c r="AK67" s="1061">
        <f>Kalkulation_Eigenstrom!AI56</f>
        <v>0</v>
      </c>
      <c r="AL67" s="1061">
        <f>Kalkulation_Eigenstrom!AJ56</f>
        <v>0</v>
      </c>
      <c r="AM67" s="1062">
        <f>Kalkulation_Eigenstrom!AK56</f>
        <v>0</v>
      </c>
      <c r="AN67" s="544"/>
      <c r="AO67" s="544"/>
      <c r="AP67" s="544"/>
      <c r="AQ67" s="544"/>
      <c r="AR67" s="544"/>
      <c r="AS67" s="544"/>
      <c r="AT67" s="544"/>
      <c r="AU67" s="544"/>
      <c r="AV67" s="544"/>
      <c r="AW67" s="544"/>
      <c r="AX67" s="544"/>
      <c r="AY67" s="544"/>
      <c r="AZ67" s="544"/>
      <c r="BA67" s="544"/>
      <c r="BB67" s="544"/>
      <c r="BC67" s="544"/>
      <c r="BD67" s="544"/>
    </row>
    <row r="68" spans="1:56" s="7" customFormat="1" ht="11.25" customHeight="1">
      <c r="A68" s="495"/>
      <c r="B68" s="495"/>
      <c r="C68" s="495"/>
      <c r="D68" s="495"/>
      <c r="E68" s="784"/>
      <c r="F68" s="784"/>
      <c r="G68" s="544"/>
      <c r="H68" s="411"/>
      <c r="I68" s="691" t="str">
        <f>""&amp;Kalkulation_Eigenstrom!AP45&amp;""</f>
        <v>AfA: Wechselrichter</v>
      </c>
      <c r="J68" s="253"/>
      <c r="K68" s="253"/>
      <c r="L68" s="253"/>
      <c r="M68" s="253"/>
      <c r="N68" s="253"/>
      <c r="O68" s="253"/>
      <c r="P68" s="253"/>
      <c r="Q68" s="711"/>
      <c r="R68" s="1268">
        <f>IF(ZRB!F44=0,"",ZRB!F44)</f>
        <v>10</v>
      </c>
      <c r="S68" s="1268"/>
      <c r="T68" s="1261">
        <f>IF(ZRB!G44=0,"",ZRB!G44)</f>
      </c>
      <c r="U68" s="1261"/>
      <c r="V68" s="1262"/>
      <c r="W68" s="166"/>
      <c r="X68" s="266"/>
      <c r="Y68" s="266"/>
      <c r="Z68" s="266"/>
      <c r="AA68" s="266"/>
      <c r="AB68" s="266"/>
      <c r="AC68" s="266"/>
      <c r="AD68" s="266"/>
      <c r="AE68" s="266"/>
      <c r="AF68" s="266"/>
      <c r="AG68" s="266"/>
      <c r="AH68" s="266"/>
      <c r="AI68" s="266"/>
      <c r="AJ68" s="266"/>
      <c r="AK68" s="266"/>
      <c r="AL68" s="266"/>
      <c r="AM68" s="266"/>
      <c r="AN68" s="544"/>
      <c r="AO68" s="544"/>
      <c r="AP68" s="544"/>
      <c r="AQ68" s="544"/>
      <c r="AR68" s="544"/>
      <c r="AS68" s="544"/>
      <c r="AT68" s="544"/>
      <c r="AU68" s="544"/>
      <c r="AV68" s="544"/>
      <c r="AW68" s="544"/>
      <c r="AX68" s="544"/>
      <c r="AY68" s="544"/>
      <c r="AZ68" s="544"/>
      <c r="BA68" s="544"/>
      <c r="BB68" s="544"/>
      <c r="BC68" s="544"/>
      <c r="BD68" s="544"/>
    </row>
    <row r="69" spans="1:56" s="7" customFormat="1" ht="2.25" customHeight="1">
      <c r="A69" s="495"/>
      <c r="B69" s="495"/>
      <c r="C69" s="495"/>
      <c r="D69" s="495"/>
      <c r="E69" s="784"/>
      <c r="F69" s="784"/>
      <c r="G69" s="544"/>
      <c r="H69" s="411"/>
      <c r="I69" s="692"/>
      <c r="J69" s="253"/>
      <c r="K69" s="253"/>
      <c r="L69" s="253"/>
      <c r="M69" s="253"/>
      <c r="N69" s="253"/>
      <c r="O69" s="253"/>
      <c r="P69" s="253"/>
      <c r="Q69" s="253"/>
      <c r="R69" s="252"/>
      <c r="S69" s="252"/>
      <c r="T69" s="253"/>
      <c r="U69" s="253"/>
      <c r="V69" s="690"/>
      <c r="W69" s="166"/>
      <c r="X69" s="579"/>
      <c r="Y69" s="580"/>
      <c r="Z69" s="580"/>
      <c r="AA69" s="580"/>
      <c r="AB69" s="580"/>
      <c r="AC69" s="580"/>
      <c r="AD69" s="581"/>
      <c r="AE69" s="581"/>
      <c r="AF69" s="581"/>
      <c r="AG69" s="581"/>
      <c r="AH69" s="581"/>
      <c r="AI69" s="581"/>
      <c r="AJ69" s="581"/>
      <c r="AK69" s="581"/>
      <c r="AL69" s="581"/>
      <c r="AM69" s="582"/>
      <c r="AN69" s="544"/>
      <c r="AO69" s="544"/>
      <c r="AP69" s="544"/>
      <c r="AQ69" s="544"/>
      <c r="AR69" s="544"/>
      <c r="AS69" s="544"/>
      <c r="AT69" s="544"/>
      <c r="AU69" s="544"/>
      <c r="AV69" s="544"/>
      <c r="AW69" s="544"/>
      <c r="AX69" s="544"/>
      <c r="AY69" s="544"/>
      <c r="AZ69" s="544"/>
      <c r="BA69" s="544"/>
      <c r="BB69" s="544"/>
      <c r="BC69" s="544"/>
      <c r="BD69" s="544"/>
    </row>
    <row r="70" spans="1:56" s="7" customFormat="1" ht="11.25" customHeight="1">
      <c r="A70" s="1094" t="s">
        <v>340</v>
      </c>
      <c r="B70" s="1094"/>
      <c r="C70" s="1094"/>
      <c r="D70" s="1094"/>
      <c r="E70" s="784"/>
      <c r="F70" s="784"/>
      <c r="G70" s="544"/>
      <c r="H70" s="411"/>
      <c r="I70" s="691" t="str">
        <f>""&amp;Kalkulation_Eigenstrom!AP47&amp;""</f>
        <v>AfA: Unterkonstruktion / Montagegestell</v>
      </c>
      <c r="J70" s="253"/>
      <c r="K70" s="253"/>
      <c r="L70" s="253"/>
      <c r="M70" s="253"/>
      <c r="N70" s="253"/>
      <c r="O70" s="253"/>
      <c r="P70" s="253"/>
      <c r="Q70" s="711"/>
      <c r="R70" s="1268">
        <f>IF(ZRB!F45=0,"",ZRB!F45)</f>
        <v>50</v>
      </c>
      <c r="S70" s="1268"/>
      <c r="T70" s="1261">
        <f>IF(ZRB!G45=0,"",ZRB!G45)</f>
      </c>
      <c r="U70" s="1261"/>
      <c r="V70" s="1262"/>
      <c r="W70" s="166"/>
      <c r="X70" s="936" t="str">
        <f>"Kosten des Eigenstromverbrauchs gesamt ( "&amp;ROUND(ZRB!G31,0)&amp;" kWh; "&amp;ROUND(ZRB!I31*100,2)&amp;"% )"</f>
        <v>Kosten des Eigenstromverbrauchs gesamt ( 0 kWh; 0% )</v>
      </c>
      <c r="Y70" s="937"/>
      <c r="Z70" s="937"/>
      <c r="AA70" s="937"/>
      <c r="AB70" s="937"/>
      <c r="AC70" s="937"/>
      <c r="AD70" s="937"/>
      <c r="AE70" s="937"/>
      <c r="AF70" s="937"/>
      <c r="AG70" s="937"/>
      <c r="AH70" s="937"/>
      <c r="AI70" s="937"/>
      <c r="AJ70" s="937"/>
      <c r="AK70" s="937"/>
      <c r="AL70" s="937"/>
      <c r="AM70" s="952"/>
      <c r="AN70" s="544"/>
      <c r="AO70" s="544"/>
      <c r="AP70" s="544"/>
      <c r="AQ70" s="544"/>
      <c r="AR70" s="544"/>
      <c r="AS70" s="544"/>
      <c r="AT70" s="544"/>
      <c r="AU70" s="544"/>
      <c r="AV70" s="544"/>
      <c r="AW70" s="544"/>
      <c r="AX70" s="544"/>
      <c r="AY70" s="544"/>
      <c r="AZ70" s="544"/>
      <c r="BA70" s="544"/>
      <c r="BB70" s="544"/>
      <c r="BC70" s="544"/>
      <c r="BD70" s="544"/>
    </row>
    <row r="71" spans="1:56" s="7" customFormat="1" ht="2.25" customHeight="1">
      <c r="A71" s="495"/>
      <c r="B71" s="495"/>
      <c r="C71" s="495"/>
      <c r="D71" s="495"/>
      <c r="E71" s="784"/>
      <c r="F71" s="784"/>
      <c r="G71" s="544"/>
      <c r="H71" s="411"/>
      <c r="I71" s="692"/>
      <c r="J71" s="253"/>
      <c r="K71" s="253"/>
      <c r="L71" s="253"/>
      <c r="M71" s="253"/>
      <c r="N71" s="253"/>
      <c r="O71" s="253"/>
      <c r="P71" s="253"/>
      <c r="Q71" s="253"/>
      <c r="R71" s="252"/>
      <c r="S71" s="252"/>
      <c r="T71" s="253"/>
      <c r="U71" s="253"/>
      <c r="V71" s="690"/>
      <c r="W71" s="166"/>
      <c r="X71" s="936"/>
      <c r="Y71" s="937"/>
      <c r="Z71" s="937"/>
      <c r="AA71" s="937"/>
      <c r="AB71" s="937"/>
      <c r="AC71" s="937"/>
      <c r="AD71" s="937"/>
      <c r="AE71" s="937"/>
      <c r="AF71" s="937"/>
      <c r="AG71" s="937"/>
      <c r="AH71" s="937"/>
      <c r="AI71" s="937"/>
      <c r="AJ71" s="937"/>
      <c r="AK71" s="937"/>
      <c r="AL71" s="937"/>
      <c r="AM71" s="952"/>
      <c r="AN71" s="544"/>
      <c r="AO71" s="544"/>
      <c r="AP71" s="544"/>
      <c r="AQ71" s="544"/>
      <c r="AR71" s="544"/>
      <c r="AS71" s="544"/>
      <c r="AT71" s="544"/>
      <c r="AU71" s="544"/>
      <c r="AV71" s="544"/>
      <c r="AW71" s="544"/>
      <c r="AX71" s="544"/>
      <c r="AY71" s="544"/>
      <c r="AZ71" s="544"/>
      <c r="BA71" s="544"/>
      <c r="BB71" s="544"/>
      <c r="BC71" s="544"/>
      <c r="BD71" s="544"/>
    </row>
    <row r="72" spans="1:56" s="7" customFormat="1" ht="11.25" customHeight="1">
      <c r="A72" s="496"/>
      <c r="B72" s="496"/>
      <c r="C72" s="496"/>
      <c r="D72" s="496"/>
      <c r="E72" s="784"/>
      <c r="F72" s="784"/>
      <c r="G72" s="544"/>
      <c r="H72" s="411"/>
      <c r="I72" s="691">
        <f>IF(ZRB!G46=0,"",""&amp;Kalkulation_Eigenstrom!AP49&amp;"")</f>
      </c>
      <c r="J72" s="253"/>
      <c r="K72" s="253"/>
      <c r="L72" s="253"/>
      <c r="M72" s="253"/>
      <c r="N72" s="253"/>
      <c r="O72" s="253"/>
      <c r="P72" s="253"/>
      <c r="Q72" s="711"/>
      <c r="R72" s="1268">
        <f>IF(ZRB!G46=0,"",IF(ZRB!F46=0,"",ZRB!F46))</f>
      </c>
      <c r="S72" s="1268"/>
      <c r="T72" s="1261">
        <f>IF(ZRB!G46=0,"",ZRB!G46)</f>
      </c>
      <c r="U72" s="1261"/>
      <c r="V72" s="1262"/>
      <c r="W72" s="166"/>
      <c r="X72" s="936"/>
      <c r="Y72" s="937"/>
      <c r="Z72" s="937"/>
      <c r="AA72" s="937"/>
      <c r="AB72" s="937"/>
      <c r="AC72" s="937"/>
      <c r="AD72" s="937"/>
      <c r="AE72" s="937"/>
      <c r="AF72" s="937"/>
      <c r="AG72" s="937"/>
      <c r="AH72" s="937"/>
      <c r="AI72" s="937"/>
      <c r="AJ72" s="937"/>
      <c r="AK72" s="937"/>
      <c r="AL72" s="937"/>
      <c r="AM72" s="952"/>
      <c r="AN72" s="544"/>
      <c r="AO72" s="544"/>
      <c r="AP72" s="544"/>
      <c r="AQ72" s="544"/>
      <c r="AR72" s="544"/>
      <c r="AS72" s="544"/>
      <c r="AT72" s="544"/>
      <c r="AU72" s="544"/>
      <c r="AV72" s="544"/>
      <c r="AW72" s="544"/>
      <c r="AX72" s="544"/>
      <c r="AY72" s="544"/>
      <c r="AZ72" s="544"/>
      <c r="BA72" s="544"/>
      <c r="BB72" s="544"/>
      <c r="BC72" s="544"/>
      <c r="BD72" s="544"/>
    </row>
    <row r="73" spans="1:56" s="7" customFormat="1" ht="2.25" customHeight="1">
      <c r="A73" s="496"/>
      <c r="B73" s="496"/>
      <c r="C73" s="496"/>
      <c r="D73" s="496"/>
      <c r="E73" s="784"/>
      <c r="F73" s="784"/>
      <c r="G73" s="544"/>
      <c r="H73" s="411"/>
      <c r="I73" s="692"/>
      <c r="J73" s="253"/>
      <c r="K73" s="253"/>
      <c r="L73" s="253"/>
      <c r="M73" s="253"/>
      <c r="N73" s="253"/>
      <c r="O73" s="253"/>
      <c r="P73" s="253"/>
      <c r="Q73" s="253"/>
      <c r="R73" s="252"/>
      <c r="S73" s="252"/>
      <c r="T73" s="253"/>
      <c r="U73" s="253"/>
      <c r="V73" s="690"/>
      <c r="W73" s="166"/>
      <c r="X73" s="790"/>
      <c r="Y73" s="713"/>
      <c r="Z73" s="713"/>
      <c r="AA73" s="713"/>
      <c r="AB73" s="713"/>
      <c r="AC73" s="713"/>
      <c r="AD73" s="713"/>
      <c r="AE73" s="713"/>
      <c r="AF73" s="713"/>
      <c r="AG73" s="713"/>
      <c r="AH73" s="390"/>
      <c r="AI73" s="390"/>
      <c r="AJ73" s="390"/>
      <c r="AK73" s="390"/>
      <c r="AL73" s="390"/>
      <c r="AM73" s="453"/>
      <c r="AN73" s="544"/>
      <c r="AO73" s="544"/>
      <c r="AP73" s="544"/>
      <c r="AQ73" s="544"/>
      <c r="AR73" s="544"/>
      <c r="AS73" s="544"/>
      <c r="AT73" s="544"/>
      <c r="AU73" s="544"/>
      <c r="AV73" s="544"/>
      <c r="AW73" s="544"/>
      <c r="AX73" s="544"/>
      <c r="AY73" s="544"/>
      <c r="AZ73" s="544"/>
      <c r="BA73" s="544"/>
      <c r="BB73" s="544"/>
      <c r="BC73" s="544"/>
      <c r="BD73" s="544"/>
    </row>
    <row r="74" spans="1:56" s="7" customFormat="1" ht="11.25" customHeight="1">
      <c r="A74" s="496"/>
      <c r="B74" s="496"/>
      <c r="C74" s="496"/>
      <c r="D74" s="496"/>
      <c r="E74" s="784"/>
      <c r="F74" s="784"/>
      <c r="G74" s="544"/>
      <c r="H74" s="411"/>
      <c r="I74" s="691">
        <f>IF(ZRB!G47=0,"",""&amp;Kalkulation_Eigenstrom!AP51&amp;"")</f>
      </c>
      <c r="J74" s="253"/>
      <c r="K74" s="253"/>
      <c r="L74" s="253"/>
      <c r="M74" s="253"/>
      <c r="N74" s="253"/>
      <c r="O74" s="253"/>
      <c r="P74" s="253"/>
      <c r="Q74" s="711"/>
      <c r="R74" s="1268">
        <f>IF(ZRB!G47=0,"",IF(ZRB!F47=0,"",ZRB!F47))</f>
      </c>
      <c r="S74" s="1268"/>
      <c r="T74" s="1261">
        <f>IF(ZRB!G47=0,"",ZRB!G47)</f>
      </c>
      <c r="U74" s="1261"/>
      <c r="V74" s="1262"/>
      <c r="W74" s="166"/>
      <c r="X74" s="790"/>
      <c r="Y74" s="1179" t="s">
        <v>471</v>
      </c>
      <c r="Z74" s="1179"/>
      <c r="AA74" s="1179"/>
      <c r="AB74" s="1179"/>
      <c r="AC74" s="1179"/>
      <c r="AD74" s="1179"/>
      <c r="AE74" s="1179"/>
      <c r="AF74" s="1179"/>
      <c r="AG74" s="1179"/>
      <c r="AH74" s="1179"/>
      <c r="AI74" s="390"/>
      <c r="AJ74" s="1178">
        <f>IF(ZRB!G5=1,"",IF(ZRB!G79=0,"",ZRB!G79))</f>
      </c>
      <c r="AK74" s="1178"/>
      <c r="AL74" s="1178"/>
      <c r="AM74" s="806"/>
      <c r="AN74" s="544"/>
      <c r="AO74" s="544"/>
      <c r="AP74" s="544"/>
      <c r="AQ74" s="544"/>
      <c r="AR74" s="544"/>
      <c r="AS74" s="544"/>
      <c r="AT74" s="544"/>
      <c r="AU74" s="544"/>
      <c r="AV74" s="544"/>
      <c r="AW74" s="544"/>
      <c r="AX74" s="544"/>
      <c r="AY74" s="544"/>
      <c r="AZ74" s="544"/>
      <c r="BA74" s="544"/>
      <c r="BB74" s="544"/>
      <c r="BC74" s="544"/>
      <c r="BD74" s="544"/>
    </row>
    <row r="75" spans="1:56" s="7" customFormat="1" ht="2.25" customHeight="1">
      <c r="A75" s="496"/>
      <c r="B75" s="496"/>
      <c r="C75" s="496"/>
      <c r="D75" s="496"/>
      <c r="E75" s="784"/>
      <c r="F75" s="784"/>
      <c r="G75" s="544"/>
      <c r="H75" s="411"/>
      <c r="I75" s="692"/>
      <c r="J75" s="253"/>
      <c r="K75" s="253"/>
      <c r="L75" s="253"/>
      <c r="M75" s="253"/>
      <c r="N75" s="253"/>
      <c r="O75" s="253"/>
      <c r="P75" s="253"/>
      <c r="Q75" s="253"/>
      <c r="R75" s="252"/>
      <c r="S75" s="252"/>
      <c r="T75" s="253"/>
      <c r="U75" s="253"/>
      <c r="V75" s="690"/>
      <c r="W75" s="166"/>
      <c r="X75" s="790"/>
      <c r="Y75" s="1179"/>
      <c r="Z75" s="1179"/>
      <c r="AA75" s="1179"/>
      <c r="AB75" s="1179"/>
      <c r="AC75" s="1179"/>
      <c r="AD75" s="1179"/>
      <c r="AE75" s="1179"/>
      <c r="AF75" s="1179"/>
      <c r="AG75" s="1179"/>
      <c r="AH75" s="1179"/>
      <c r="AI75" s="390"/>
      <c r="AJ75" s="1178"/>
      <c r="AK75" s="1178"/>
      <c r="AL75" s="1178"/>
      <c r="AM75" s="806"/>
      <c r="AN75" s="544"/>
      <c r="AO75" s="544"/>
      <c r="AP75" s="544"/>
      <c r="AQ75" s="544"/>
      <c r="AR75" s="544"/>
      <c r="AS75" s="544"/>
      <c r="AT75" s="544"/>
      <c r="AU75" s="544"/>
      <c r="AV75" s="544"/>
      <c r="AW75" s="544"/>
      <c r="AX75" s="544"/>
      <c r="AY75" s="544"/>
      <c r="AZ75" s="544"/>
      <c r="BA75" s="544"/>
      <c r="BB75" s="544"/>
      <c r="BC75" s="544"/>
      <c r="BD75" s="544"/>
    </row>
    <row r="76" spans="1:56" s="7" customFormat="1" ht="11.25" customHeight="1">
      <c r="A76" s="496"/>
      <c r="B76" s="496"/>
      <c r="C76" s="496"/>
      <c r="D76" s="496"/>
      <c r="E76" s="784"/>
      <c r="F76" s="784"/>
      <c r="G76" s="544"/>
      <c r="H76" s="411"/>
      <c r="I76" s="691">
        <f>IF(ZRB!G53=0,"",""&amp;Kalkulation_Eigenstrom!AP53&amp;"")</f>
      </c>
      <c r="J76" s="253"/>
      <c r="K76" s="253"/>
      <c r="L76" s="253"/>
      <c r="M76" s="253"/>
      <c r="N76" s="253"/>
      <c r="O76" s="253"/>
      <c r="P76" s="253"/>
      <c r="Q76" s="711"/>
      <c r="R76" s="1268">
        <f>IF(ZRB!G53=0,"",IF(ZRB!F53=0,"",ZRB!F53))</f>
      </c>
      <c r="S76" s="1268"/>
      <c r="T76" s="1261">
        <f>IF(ZRB!G53=0,"",ZRB!G53)</f>
      </c>
      <c r="U76" s="1261"/>
      <c r="V76" s="1262"/>
      <c r="W76" s="166"/>
      <c r="X76" s="790"/>
      <c r="Y76" s="1179"/>
      <c r="Z76" s="1179"/>
      <c r="AA76" s="1179"/>
      <c r="AB76" s="1179"/>
      <c r="AC76" s="1179"/>
      <c r="AD76" s="1179"/>
      <c r="AE76" s="1179"/>
      <c r="AF76" s="1179"/>
      <c r="AG76" s="1179"/>
      <c r="AH76" s="1179"/>
      <c r="AI76" s="390"/>
      <c r="AJ76" s="1178"/>
      <c r="AK76" s="1178"/>
      <c r="AL76" s="1178"/>
      <c r="AM76" s="806"/>
      <c r="AN76" s="544"/>
      <c r="AO76" s="544"/>
      <c r="AP76" s="544"/>
      <c r="AQ76" s="544"/>
      <c r="AR76" s="544"/>
      <c r="AS76" s="544"/>
      <c r="AT76" s="544"/>
      <c r="AU76" s="544"/>
      <c r="AV76" s="544"/>
      <c r="AW76" s="544"/>
      <c r="AX76" s="544"/>
      <c r="AY76" s="544"/>
      <c r="AZ76" s="544"/>
      <c r="BA76" s="544"/>
      <c r="BB76" s="544"/>
      <c r="BC76" s="544"/>
      <c r="BD76" s="544"/>
    </row>
    <row r="77" spans="1:56" s="7" customFormat="1" ht="2.25" customHeight="1">
      <c r="A77" s="496"/>
      <c r="B77" s="496"/>
      <c r="C77" s="496"/>
      <c r="D77" s="496"/>
      <c r="E77" s="784"/>
      <c r="F77" s="784"/>
      <c r="G77" s="544"/>
      <c r="H77" s="411"/>
      <c r="I77" s="692"/>
      <c r="J77" s="253"/>
      <c r="K77" s="253"/>
      <c r="L77" s="253"/>
      <c r="M77" s="253"/>
      <c r="N77" s="253"/>
      <c r="O77" s="253"/>
      <c r="P77" s="253"/>
      <c r="Q77" s="253"/>
      <c r="R77" s="252"/>
      <c r="S77" s="252"/>
      <c r="T77" s="253"/>
      <c r="U77" s="253"/>
      <c r="V77" s="690"/>
      <c r="W77" s="166"/>
      <c r="X77" s="790"/>
      <c r="Y77" s="390"/>
      <c r="Z77" s="390"/>
      <c r="AA77" s="390"/>
      <c r="AB77" s="390"/>
      <c r="AC77" s="390"/>
      <c r="AD77" s="390"/>
      <c r="AE77" s="390"/>
      <c r="AF77" s="390"/>
      <c r="AG77" s="390"/>
      <c r="AH77" s="390"/>
      <c r="AI77" s="390"/>
      <c r="AJ77" s="390"/>
      <c r="AK77" s="390"/>
      <c r="AL77" s="390"/>
      <c r="AM77" s="453"/>
      <c r="AN77" s="544"/>
      <c r="AO77" s="544"/>
      <c r="AP77" s="544"/>
      <c r="AQ77" s="544"/>
      <c r="AR77" s="544"/>
      <c r="AS77" s="544"/>
      <c r="AT77" s="544"/>
      <c r="AU77" s="544"/>
      <c r="AV77" s="544"/>
      <c r="AW77" s="544"/>
      <c r="AX77" s="544"/>
      <c r="AY77" s="544"/>
      <c r="AZ77" s="544"/>
      <c r="BA77" s="544"/>
      <c r="BB77" s="544"/>
      <c r="BC77" s="544"/>
      <c r="BD77" s="544"/>
    </row>
    <row r="78" spans="1:56" s="7" customFormat="1" ht="11.25" customHeight="1">
      <c r="A78" s="496"/>
      <c r="B78" s="496"/>
      <c r="C78" s="496"/>
      <c r="D78" s="496"/>
      <c r="E78" s="784"/>
      <c r="F78" s="784"/>
      <c r="G78" s="544"/>
      <c r="H78" s="411"/>
      <c r="I78" s="691">
        <f>IF(ZRB!G54=0,"",""&amp;Kalkulation_Eigenstrom!AP55&amp;"")</f>
      </c>
      <c r="J78" s="253"/>
      <c r="K78" s="253"/>
      <c r="L78" s="253"/>
      <c r="M78" s="253"/>
      <c r="N78" s="253"/>
      <c r="O78" s="253"/>
      <c r="P78" s="253"/>
      <c r="Q78" s="711"/>
      <c r="R78" s="1268">
        <f>IF(ZRB!G54=0,"",IF(ZRB!F54=0,"",ZRB!F54))</f>
      </c>
      <c r="S78" s="1268"/>
      <c r="T78" s="1261">
        <f>IF(ZRB!G54=0,"",ZRB!G54)</f>
      </c>
      <c r="U78" s="1261"/>
      <c r="V78" s="1262"/>
      <c r="W78" s="166"/>
      <c r="X78" s="790"/>
      <c r="Y78" s="1245" t="s">
        <v>472</v>
      </c>
      <c r="Z78" s="1179"/>
      <c r="AA78" s="1179"/>
      <c r="AB78" s="1179"/>
      <c r="AC78" s="1179"/>
      <c r="AD78" s="1179"/>
      <c r="AE78" s="1179"/>
      <c r="AF78" s="1179"/>
      <c r="AG78" s="1179"/>
      <c r="AH78" s="1179"/>
      <c r="AI78" s="1192" t="str">
        <f>"("&amp;ROUND(ZRB!I32*100,2)&amp;"%)"</f>
        <v>(0%)</v>
      </c>
      <c r="AJ78" s="1178">
        <f>IF(ZRB!G5=1,"",ZRB!G82*(-1))</f>
      </c>
      <c r="AK78" s="1178"/>
      <c r="AL78" s="1178"/>
      <c r="AM78" s="806"/>
      <c r="AN78" s="544"/>
      <c r="AO78" s="544"/>
      <c r="AP78" s="544"/>
      <c r="AQ78" s="544"/>
      <c r="AR78" s="544"/>
      <c r="AS78" s="544"/>
      <c r="AT78" s="544"/>
      <c r="AU78" s="544"/>
      <c r="AV78" s="544"/>
      <c r="AW78" s="544"/>
      <c r="AX78" s="544"/>
      <c r="AY78" s="544"/>
      <c r="AZ78" s="544"/>
      <c r="BA78" s="544"/>
      <c r="BB78" s="544"/>
      <c r="BC78" s="544"/>
      <c r="BD78" s="544"/>
    </row>
    <row r="79" spans="1:56" s="7" customFormat="1" ht="2.25" customHeight="1">
      <c r="A79" s="496"/>
      <c r="B79" s="496"/>
      <c r="C79" s="496"/>
      <c r="D79" s="496"/>
      <c r="E79" s="784"/>
      <c r="F79" s="784"/>
      <c r="G79" s="544"/>
      <c r="H79" s="411"/>
      <c r="I79" s="692"/>
      <c r="J79" s="253"/>
      <c r="K79" s="253"/>
      <c r="L79" s="253"/>
      <c r="M79" s="253"/>
      <c r="N79" s="253"/>
      <c r="O79" s="253"/>
      <c r="P79" s="253"/>
      <c r="Q79" s="253"/>
      <c r="R79" s="252"/>
      <c r="S79" s="252"/>
      <c r="T79" s="253"/>
      <c r="U79" s="253"/>
      <c r="V79" s="690"/>
      <c r="W79" s="166"/>
      <c r="X79" s="790"/>
      <c r="Y79" s="1179"/>
      <c r="Z79" s="1179"/>
      <c r="AA79" s="1179"/>
      <c r="AB79" s="1179"/>
      <c r="AC79" s="1179"/>
      <c r="AD79" s="1179"/>
      <c r="AE79" s="1179"/>
      <c r="AF79" s="1179"/>
      <c r="AG79" s="1179"/>
      <c r="AH79" s="1179"/>
      <c r="AI79" s="1192"/>
      <c r="AJ79" s="1178"/>
      <c r="AK79" s="1178"/>
      <c r="AL79" s="1178"/>
      <c r="AM79" s="806"/>
      <c r="AN79" s="544"/>
      <c r="AO79" s="544"/>
      <c r="AP79" s="544"/>
      <c r="AQ79" s="544"/>
      <c r="AR79" s="544"/>
      <c r="AS79" s="544"/>
      <c r="AT79" s="544"/>
      <c r="AU79" s="544"/>
      <c r="AV79" s="544"/>
      <c r="AW79" s="544"/>
      <c r="AX79" s="544"/>
      <c r="AY79" s="544"/>
      <c r="AZ79" s="544"/>
      <c r="BA79" s="544"/>
      <c r="BB79" s="544"/>
      <c r="BC79" s="544"/>
      <c r="BD79" s="544"/>
    </row>
    <row r="80" spans="1:56" s="7" customFormat="1" ht="11.25" customHeight="1">
      <c r="A80" s="496"/>
      <c r="B80" s="496"/>
      <c r="C80" s="496"/>
      <c r="D80" s="496"/>
      <c r="E80" s="784"/>
      <c r="F80" s="784"/>
      <c r="G80" s="544"/>
      <c r="H80" s="411"/>
      <c r="I80" s="691">
        <f>IF(ZRB!G55=0,"",""&amp;Kalkulation_Eigenstrom!AP57&amp;"")</f>
      </c>
      <c r="J80" s="253"/>
      <c r="K80" s="253"/>
      <c r="L80" s="253"/>
      <c r="M80" s="253"/>
      <c r="N80" s="253"/>
      <c r="O80" s="253"/>
      <c r="P80" s="253"/>
      <c r="Q80" s="711"/>
      <c r="R80" s="1268">
        <f>IF(ZRB!G55=0,"",IF(ZRB!F55=0,"",ZRB!F55))</f>
      </c>
      <c r="S80" s="1268"/>
      <c r="T80" s="1261">
        <f>IF(ZRB!G55=0,"",ZRB!G55)</f>
      </c>
      <c r="U80" s="1261"/>
      <c r="V80" s="1262"/>
      <c r="W80" s="166"/>
      <c r="X80" s="790"/>
      <c r="Y80" s="1179"/>
      <c r="Z80" s="1179"/>
      <c r="AA80" s="1179"/>
      <c r="AB80" s="1179"/>
      <c r="AC80" s="1179"/>
      <c r="AD80" s="1179"/>
      <c r="AE80" s="1179"/>
      <c r="AF80" s="1179"/>
      <c r="AG80" s="1179"/>
      <c r="AH80" s="1179"/>
      <c r="AI80" s="1192"/>
      <c r="AJ80" s="1178"/>
      <c r="AK80" s="1178"/>
      <c r="AL80" s="1178"/>
      <c r="AM80" s="806"/>
      <c r="AN80" s="544"/>
      <c r="AO80" s="544"/>
      <c r="AP80" s="544"/>
      <c r="AQ80" s="544"/>
      <c r="AR80" s="544"/>
      <c r="AS80" s="544"/>
      <c r="AT80" s="544"/>
      <c r="AU80" s="544"/>
      <c r="AV80" s="544"/>
      <c r="AW80" s="544"/>
      <c r="AX80" s="544"/>
      <c r="AY80" s="544"/>
      <c r="AZ80" s="544"/>
      <c r="BA80" s="544"/>
      <c r="BB80" s="544"/>
      <c r="BC80" s="544"/>
      <c r="BD80" s="544"/>
    </row>
    <row r="81" spans="1:56" s="7" customFormat="1" ht="2.25" customHeight="1">
      <c r="A81" s="496"/>
      <c r="B81" s="496"/>
      <c r="C81" s="496"/>
      <c r="D81" s="496"/>
      <c r="E81" s="784"/>
      <c r="F81" s="784"/>
      <c r="G81" s="544"/>
      <c r="H81" s="411"/>
      <c r="I81" s="692"/>
      <c r="J81" s="253"/>
      <c r="K81" s="253"/>
      <c r="L81" s="253"/>
      <c r="M81" s="253"/>
      <c r="N81" s="253"/>
      <c r="O81" s="253"/>
      <c r="P81" s="253"/>
      <c r="Q81" s="253"/>
      <c r="R81" s="253"/>
      <c r="S81" s="253"/>
      <c r="T81" s="253"/>
      <c r="U81" s="253"/>
      <c r="V81" s="690"/>
      <c r="W81" s="166"/>
      <c r="X81" s="790"/>
      <c r="Y81" s="390"/>
      <c r="Z81" s="390"/>
      <c r="AA81" s="390"/>
      <c r="AB81" s="390"/>
      <c r="AC81" s="390"/>
      <c r="AD81" s="390"/>
      <c r="AE81" s="390"/>
      <c r="AF81" s="390"/>
      <c r="AG81" s="390"/>
      <c r="AH81" s="390"/>
      <c r="AI81" s="390"/>
      <c r="AJ81" s="390"/>
      <c r="AK81" s="390"/>
      <c r="AL81" s="390"/>
      <c r="AM81" s="453"/>
      <c r="AN81" s="544"/>
      <c r="AO81" s="544"/>
      <c r="AP81" s="544"/>
      <c r="AQ81" s="544"/>
      <c r="AR81" s="544"/>
      <c r="AS81" s="544"/>
      <c r="AT81" s="544"/>
      <c r="AU81" s="544"/>
      <c r="AV81" s="544"/>
      <c r="AW81" s="544"/>
      <c r="AX81" s="544"/>
      <c r="AY81" s="544"/>
      <c r="AZ81" s="544"/>
      <c r="BA81" s="544"/>
      <c r="BB81" s="544"/>
      <c r="BC81" s="544"/>
      <c r="BD81" s="544"/>
    </row>
    <row r="82" spans="1:56" s="7" customFormat="1" ht="11.25" customHeight="1">
      <c r="A82" s="496"/>
      <c r="B82" s="496"/>
      <c r="C82" s="496"/>
      <c r="D82" s="496"/>
      <c r="E82" s="784"/>
      <c r="F82" s="784"/>
      <c r="G82" s="544"/>
      <c r="H82" s="411"/>
      <c r="I82" s="691" t="str">
        <f>""&amp;Kalkulation_Eigenstrom!AP59&amp;""</f>
        <v>Verzinsung des Kapitals</v>
      </c>
      <c r="J82" s="253"/>
      <c r="K82" s="253"/>
      <c r="L82" s="253"/>
      <c r="M82" s="253"/>
      <c r="N82" s="425"/>
      <c r="O82" s="253"/>
      <c r="P82" s="253"/>
      <c r="Q82" s="666" t="str">
        <f>"("&amp;ROUND(ZRB!F58*100,3)&amp;" %; Annuitätenmethode)"</f>
        <v>(5 %; Annuitätenmethode)</v>
      </c>
      <c r="R82" s="431"/>
      <c r="S82" s="431"/>
      <c r="T82" s="1261">
        <f>IF(ZRB!G58=0,"",ZRB!G58)</f>
      </c>
      <c r="U82" s="1261"/>
      <c r="V82" s="1262"/>
      <c r="W82" s="166"/>
      <c r="X82" s="790"/>
      <c r="Y82" s="1245" t="s">
        <v>473</v>
      </c>
      <c r="Z82" s="1179"/>
      <c r="AA82" s="1179"/>
      <c r="AB82" s="1179"/>
      <c r="AC82" s="1179"/>
      <c r="AD82" s="1179"/>
      <c r="AE82" s="1179"/>
      <c r="AF82" s="1179"/>
      <c r="AG82" s="1179"/>
      <c r="AH82" s="1179"/>
      <c r="AI82" s="390"/>
      <c r="AJ82" s="1178">
        <f>IF(ZRB!G5=1,"",IF(ZRB!G13&lt;3,ZRB!G85*(-1),""))</f>
      </c>
      <c r="AK82" s="1178"/>
      <c r="AL82" s="1178"/>
      <c r="AM82" s="806"/>
      <c r="AN82" s="544"/>
      <c r="AO82" s="544"/>
      <c r="AP82" s="544"/>
      <c r="AQ82" s="544"/>
      <c r="AR82" s="544"/>
      <c r="AS82" s="544"/>
      <c r="AT82" s="544"/>
      <c r="AU82" s="544"/>
      <c r="AV82" s="544"/>
      <c r="AW82" s="544"/>
      <c r="AX82" s="544"/>
      <c r="AY82" s="544"/>
      <c r="AZ82" s="544"/>
      <c r="BA82" s="544"/>
      <c r="BB82" s="544"/>
      <c r="BC82" s="544"/>
      <c r="BD82" s="544"/>
    </row>
    <row r="83" spans="1:56" s="7" customFormat="1" ht="2.25" customHeight="1">
      <c r="A83" s="496"/>
      <c r="B83" s="496"/>
      <c r="C83" s="496"/>
      <c r="D83" s="496"/>
      <c r="E83" s="784"/>
      <c r="F83" s="784"/>
      <c r="G83" s="544"/>
      <c r="H83" s="411"/>
      <c r="I83" s="691"/>
      <c r="J83" s="253"/>
      <c r="K83" s="253"/>
      <c r="L83" s="253"/>
      <c r="M83" s="253"/>
      <c r="N83" s="425"/>
      <c r="O83" s="253"/>
      <c r="P83" s="253"/>
      <c r="Q83" s="666"/>
      <c r="R83" s="431"/>
      <c r="S83" s="431"/>
      <c r="T83" s="782"/>
      <c r="U83" s="782"/>
      <c r="V83" s="783"/>
      <c r="W83" s="166"/>
      <c r="X83" s="790"/>
      <c r="Y83" s="1179"/>
      <c r="Z83" s="1179"/>
      <c r="AA83" s="1179"/>
      <c r="AB83" s="1179"/>
      <c r="AC83" s="1179"/>
      <c r="AD83" s="1179"/>
      <c r="AE83" s="1179"/>
      <c r="AF83" s="1179"/>
      <c r="AG83" s="1179"/>
      <c r="AH83" s="1179"/>
      <c r="AI83" s="390"/>
      <c r="AJ83" s="1178"/>
      <c r="AK83" s="1178"/>
      <c r="AL83" s="1178"/>
      <c r="AM83" s="806"/>
      <c r="AN83" s="544"/>
      <c r="AO83" s="544"/>
      <c r="AP83" s="544"/>
      <c r="AQ83" s="544"/>
      <c r="AR83" s="544"/>
      <c r="AS83" s="544"/>
      <c r="AT83" s="544"/>
      <c r="AU83" s="544"/>
      <c r="AV83" s="544"/>
      <c r="AW83" s="544"/>
      <c r="AX83" s="544"/>
      <c r="AY83" s="544"/>
      <c r="AZ83" s="544"/>
      <c r="BA83" s="544"/>
      <c r="BB83" s="544"/>
      <c r="BC83" s="544"/>
      <c r="BD83" s="544"/>
    </row>
    <row r="84" spans="1:56" s="7" customFormat="1" ht="11.25" customHeight="1">
      <c r="A84" s="496"/>
      <c r="B84" s="496"/>
      <c r="C84" s="496"/>
      <c r="D84" s="496"/>
      <c r="E84" s="784"/>
      <c r="F84" s="784"/>
      <c r="G84" s="544"/>
      <c r="H84" s="411"/>
      <c r="I84" s="691"/>
      <c r="J84" s="253"/>
      <c r="K84" s="253"/>
      <c r="L84" s="253"/>
      <c r="M84" s="253"/>
      <c r="N84" s="425"/>
      <c r="O84" s="253"/>
      <c r="P84" s="253"/>
      <c r="Q84" s="666"/>
      <c r="R84" s="431"/>
      <c r="S84" s="431"/>
      <c r="T84" s="782"/>
      <c r="U84" s="782"/>
      <c r="V84" s="783"/>
      <c r="W84" s="166"/>
      <c r="X84" s="790"/>
      <c r="Y84" s="1246"/>
      <c r="Z84" s="1246"/>
      <c r="AA84" s="1246"/>
      <c r="AB84" s="1246"/>
      <c r="AC84" s="1246"/>
      <c r="AD84" s="1246"/>
      <c r="AE84" s="1246"/>
      <c r="AF84" s="1246"/>
      <c r="AG84" s="1246"/>
      <c r="AH84" s="1246"/>
      <c r="AI84" s="391"/>
      <c r="AJ84" s="1229"/>
      <c r="AK84" s="1229"/>
      <c r="AL84" s="1229"/>
      <c r="AM84" s="806"/>
      <c r="AN84" s="544"/>
      <c r="AO84" s="544"/>
      <c r="AP84" s="544"/>
      <c r="AQ84" s="544"/>
      <c r="AR84" s="544"/>
      <c r="AS84" s="544"/>
      <c r="AT84" s="544"/>
      <c r="AU84" s="544"/>
      <c r="AV84" s="544"/>
      <c r="AW84" s="544"/>
      <c r="AX84" s="544"/>
      <c r="AY84" s="544"/>
      <c r="AZ84" s="544"/>
      <c r="BA84" s="544"/>
      <c r="BB84" s="544"/>
      <c r="BC84" s="544"/>
      <c r="BD84" s="544"/>
    </row>
    <row r="85" spans="1:56" s="7" customFormat="1" ht="2.25" customHeight="1">
      <c r="A85" s="496"/>
      <c r="B85" s="496"/>
      <c r="C85" s="496"/>
      <c r="D85" s="496"/>
      <c r="E85" s="784"/>
      <c r="F85" s="784"/>
      <c r="G85" s="544"/>
      <c r="H85" s="411"/>
      <c r="I85" s="1264" t="s">
        <v>317</v>
      </c>
      <c r="J85" s="1264"/>
      <c r="K85" s="1264"/>
      <c r="L85" s="1264"/>
      <c r="M85" s="1264"/>
      <c r="N85" s="1264"/>
      <c r="O85" s="1264"/>
      <c r="P85" s="1264"/>
      <c r="Q85" s="1264"/>
      <c r="R85" s="253"/>
      <c r="S85" s="253"/>
      <c r="T85" s="253"/>
      <c r="U85" s="253"/>
      <c r="V85" s="690"/>
      <c r="W85" s="166"/>
      <c r="X85" s="790"/>
      <c r="Y85" s="390"/>
      <c r="Z85" s="390"/>
      <c r="AA85" s="390"/>
      <c r="AB85" s="390"/>
      <c r="AC85" s="390"/>
      <c r="AD85" s="390"/>
      <c r="AE85" s="390"/>
      <c r="AF85" s="390"/>
      <c r="AG85" s="390"/>
      <c r="AH85" s="390"/>
      <c r="AI85" s="390"/>
      <c r="AJ85" s="390"/>
      <c r="AK85" s="390"/>
      <c r="AL85" s="390"/>
      <c r="AM85" s="453"/>
      <c r="AN85" s="544"/>
      <c r="AO85" s="544"/>
      <c r="AP85" s="544"/>
      <c r="AQ85" s="544"/>
      <c r="AR85" s="544"/>
      <c r="AS85" s="544"/>
      <c r="AT85" s="544"/>
      <c r="AU85" s="544"/>
      <c r="AV85" s="544"/>
      <c r="AW85" s="544"/>
      <c r="AX85" s="544"/>
      <c r="AY85" s="544"/>
      <c r="AZ85" s="544"/>
      <c r="BA85" s="544"/>
      <c r="BB85" s="544"/>
      <c r="BC85" s="544"/>
      <c r="BD85" s="544"/>
    </row>
    <row r="86" spans="1:56" s="7" customFormat="1" ht="11.25" customHeight="1">
      <c r="A86" s="496"/>
      <c r="B86" s="496"/>
      <c r="C86" s="496"/>
      <c r="D86" s="496"/>
      <c r="E86" s="784"/>
      <c r="F86" s="784"/>
      <c r="G86" s="544"/>
      <c r="H86" s="411"/>
      <c r="I86" s="1264"/>
      <c r="J86" s="1264"/>
      <c r="K86" s="1264"/>
      <c r="L86" s="1264"/>
      <c r="M86" s="1264"/>
      <c r="N86" s="1264"/>
      <c r="O86" s="1264"/>
      <c r="P86" s="1264"/>
      <c r="Q86" s="1264"/>
      <c r="R86" s="700"/>
      <c r="S86" s="700"/>
      <c r="T86" s="700"/>
      <c r="U86" s="700"/>
      <c r="V86" s="701"/>
      <c r="W86" s="166"/>
      <c r="X86" s="790"/>
      <c r="Y86" s="1245" t="s">
        <v>503</v>
      </c>
      <c r="Z86" s="1179"/>
      <c r="AA86" s="1179"/>
      <c r="AB86" s="1179"/>
      <c r="AC86" s="1179"/>
      <c r="AD86" s="1179"/>
      <c r="AE86" s="1179"/>
      <c r="AF86" s="1179"/>
      <c r="AG86" s="1179"/>
      <c r="AH86" s="1179"/>
      <c r="AI86" s="1192" t="str">
        <f>"("&amp;ROUND(ZRB!I31*100,2)&amp;"%)"</f>
        <v>(0%)</v>
      </c>
      <c r="AJ86" s="1178">
        <f>IF(ZRB!G5=1,"",ZRB!G86)</f>
      </c>
      <c r="AK86" s="1178"/>
      <c r="AL86" s="1178"/>
      <c r="AM86" s="806"/>
      <c r="AN86" s="544"/>
      <c r="AO86" s="544"/>
      <c r="AP86" s="544"/>
      <c r="AQ86" s="544"/>
      <c r="AR86" s="544"/>
      <c r="AS86" s="544"/>
      <c r="AT86" s="544"/>
      <c r="AU86" s="544"/>
      <c r="AV86" s="544"/>
      <c r="AW86" s="544"/>
      <c r="AX86" s="544"/>
      <c r="AY86" s="544"/>
      <c r="AZ86" s="544"/>
      <c r="BA86" s="544"/>
      <c r="BB86" s="544"/>
      <c r="BC86" s="544"/>
      <c r="BD86" s="544"/>
    </row>
    <row r="87" spans="1:56" s="7" customFormat="1" ht="2.25" customHeight="1">
      <c r="A87" s="496"/>
      <c r="B87" s="496"/>
      <c r="C87" s="496"/>
      <c r="D87" s="496"/>
      <c r="E87" s="784"/>
      <c r="F87" s="784"/>
      <c r="G87" s="544"/>
      <c r="H87" s="411"/>
      <c r="I87" s="253"/>
      <c r="J87" s="253"/>
      <c r="K87" s="253"/>
      <c r="L87" s="253"/>
      <c r="M87" s="253"/>
      <c r="N87" s="253"/>
      <c r="O87" s="253"/>
      <c r="P87" s="253"/>
      <c r="Q87" s="253"/>
      <c r="R87" s="253"/>
      <c r="S87" s="253"/>
      <c r="T87" s="253"/>
      <c r="U87" s="253"/>
      <c r="V87" s="690"/>
      <c r="W87" s="166"/>
      <c r="X87" s="790"/>
      <c r="Y87" s="1179"/>
      <c r="Z87" s="1179"/>
      <c r="AA87" s="1179"/>
      <c r="AB87" s="1179"/>
      <c r="AC87" s="1179"/>
      <c r="AD87" s="1179"/>
      <c r="AE87" s="1179"/>
      <c r="AF87" s="1179"/>
      <c r="AG87" s="1179"/>
      <c r="AH87" s="1179"/>
      <c r="AI87" s="1192"/>
      <c r="AJ87" s="1178"/>
      <c r="AK87" s="1178"/>
      <c r="AL87" s="1178"/>
      <c r="AM87" s="806"/>
      <c r="AN87" s="544"/>
      <c r="AO87" s="544"/>
      <c r="AP87" s="544"/>
      <c r="AQ87" s="544"/>
      <c r="AR87" s="544"/>
      <c r="AS87" s="544"/>
      <c r="AT87" s="544"/>
      <c r="AU87" s="544"/>
      <c r="AV87" s="544"/>
      <c r="AW87" s="544"/>
      <c r="AX87" s="544"/>
      <c r="AY87" s="544"/>
      <c r="AZ87" s="544"/>
      <c r="BA87" s="544"/>
      <c r="BB87" s="544"/>
      <c r="BC87" s="544"/>
      <c r="BD87" s="544"/>
    </row>
    <row r="88" spans="1:56" s="7" customFormat="1" ht="11.25" customHeight="1">
      <c r="A88" s="496"/>
      <c r="B88" s="496"/>
      <c r="C88" s="496"/>
      <c r="D88" s="496"/>
      <c r="E88" s="784"/>
      <c r="F88" s="784"/>
      <c r="G88" s="544"/>
      <c r="H88" s="411"/>
      <c r="I88" s="691">
        <f>IF(ZRB!G68=0,"",""&amp;Kalkulation_Eigenstrom!AP63&amp;"")</f>
      </c>
      <c r="J88" s="253"/>
      <c r="K88" s="253"/>
      <c r="L88" s="253"/>
      <c r="M88" s="253"/>
      <c r="N88" s="253"/>
      <c r="O88" s="253"/>
      <c r="P88" s="253"/>
      <c r="Q88" s="1261">
        <f>IF(ZRB!G68=0,"",ZRB!G68)</f>
      </c>
      <c r="R88" s="1261"/>
      <c r="S88" s="1261"/>
      <c r="T88" s="1261"/>
      <c r="U88" s="1261"/>
      <c r="V88" s="1262"/>
      <c r="W88" s="166"/>
      <c r="X88" s="790"/>
      <c r="Y88" s="1179"/>
      <c r="Z88" s="1179"/>
      <c r="AA88" s="1179"/>
      <c r="AB88" s="1179"/>
      <c r="AC88" s="1179"/>
      <c r="AD88" s="1179"/>
      <c r="AE88" s="1179"/>
      <c r="AF88" s="1179"/>
      <c r="AG88" s="1179"/>
      <c r="AH88" s="1179"/>
      <c r="AI88" s="1192"/>
      <c r="AJ88" s="1178"/>
      <c r="AK88" s="1178"/>
      <c r="AL88" s="1178"/>
      <c r="AM88" s="806"/>
      <c r="AN88" s="544"/>
      <c r="AO88" s="544"/>
      <c r="AP88" s="544"/>
      <c r="AQ88" s="544"/>
      <c r="AR88" s="544"/>
      <c r="AS88" s="544"/>
      <c r="AT88" s="544"/>
      <c r="AU88" s="544"/>
      <c r="AV88" s="544"/>
      <c r="AW88" s="544"/>
      <c r="AX88" s="544"/>
      <c r="AY88" s="544"/>
      <c r="AZ88" s="544"/>
      <c r="BA88" s="544"/>
      <c r="BB88" s="544"/>
      <c r="BC88" s="544"/>
      <c r="BD88" s="544"/>
    </row>
    <row r="89" spans="1:56" s="7" customFormat="1" ht="2.25" customHeight="1">
      <c r="A89" s="496"/>
      <c r="B89" s="496"/>
      <c r="C89" s="496"/>
      <c r="D89" s="496"/>
      <c r="E89" s="784"/>
      <c r="F89" s="784"/>
      <c r="G89" s="544"/>
      <c r="H89" s="411"/>
      <c r="I89" s="253"/>
      <c r="J89" s="253"/>
      <c r="K89" s="253"/>
      <c r="L89" s="253"/>
      <c r="M89" s="253"/>
      <c r="N89" s="253"/>
      <c r="O89" s="253"/>
      <c r="P89" s="253"/>
      <c r="Q89" s="253"/>
      <c r="R89" s="253"/>
      <c r="S89" s="253"/>
      <c r="T89" s="253"/>
      <c r="U89" s="253"/>
      <c r="V89" s="690"/>
      <c r="W89" s="166"/>
      <c r="X89" s="790"/>
      <c r="Y89" s="390"/>
      <c r="Z89" s="390"/>
      <c r="AA89" s="390"/>
      <c r="AB89" s="390"/>
      <c r="AC89" s="390"/>
      <c r="AD89" s="390"/>
      <c r="AE89" s="390"/>
      <c r="AF89" s="390"/>
      <c r="AG89" s="390"/>
      <c r="AH89" s="390"/>
      <c r="AI89" s="390"/>
      <c r="AJ89" s="390"/>
      <c r="AK89" s="390"/>
      <c r="AL89" s="390"/>
      <c r="AM89" s="453"/>
      <c r="AN89" s="544"/>
      <c r="AO89" s="544"/>
      <c r="AP89" s="544"/>
      <c r="AQ89" s="544"/>
      <c r="AR89" s="544"/>
      <c r="AS89" s="544"/>
      <c r="AT89" s="544"/>
      <c r="AU89" s="544"/>
      <c r="AV89" s="544"/>
      <c r="AW89" s="544"/>
      <c r="AX89" s="544"/>
      <c r="AY89" s="544"/>
      <c r="AZ89" s="544"/>
      <c r="BA89" s="544"/>
      <c r="BB89" s="544"/>
      <c r="BC89" s="544"/>
      <c r="BD89" s="544"/>
    </row>
    <row r="90" spans="1:56" s="7" customFormat="1" ht="11.25" customHeight="1">
      <c r="A90" s="496"/>
      <c r="B90" s="496"/>
      <c r="C90" s="496"/>
      <c r="D90" s="496"/>
      <c r="E90" s="784"/>
      <c r="F90" s="784"/>
      <c r="G90" s="544"/>
      <c r="H90" s="411"/>
      <c r="I90" s="691">
        <f>IF(ZRB!G69=0,"",""&amp;Kalkulation_Eigenstrom!AP65&amp;"")</f>
      </c>
      <c r="J90" s="253"/>
      <c r="K90" s="253"/>
      <c r="L90" s="253"/>
      <c r="M90" s="253"/>
      <c r="N90" s="253"/>
      <c r="O90" s="253"/>
      <c r="P90" s="253"/>
      <c r="Q90" s="1261">
        <f>IF(ZRB!G69=0,"",ZRB!G69)</f>
      </c>
      <c r="R90" s="1261"/>
      <c r="S90" s="1261"/>
      <c r="T90" s="1261"/>
      <c r="U90" s="1261"/>
      <c r="V90" s="1262"/>
      <c r="W90" s="166"/>
      <c r="X90" s="790"/>
      <c r="Y90" s="391"/>
      <c r="Z90" s="391"/>
      <c r="AA90" s="391"/>
      <c r="AB90" s="391"/>
      <c r="AC90" s="391"/>
      <c r="AD90" s="391"/>
      <c r="AE90" s="391"/>
      <c r="AF90" s="391"/>
      <c r="AG90" s="391"/>
      <c r="AH90" s="391"/>
      <c r="AI90" s="391"/>
      <c r="AJ90" s="391"/>
      <c r="AK90" s="391"/>
      <c r="AL90" s="391"/>
      <c r="AM90" s="453"/>
      <c r="AN90" s="544"/>
      <c r="AO90" s="544"/>
      <c r="AP90" s="544"/>
      <c r="AQ90" s="544"/>
      <c r="AR90" s="544"/>
      <c r="AS90" s="544"/>
      <c r="AT90" s="544"/>
      <c r="AU90" s="544"/>
      <c r="AV90" s="544"/>
      <c r="AW90" s="544"/>
      <c r="AX90" s="544"/>
      <c r="AY90" s="544"/>
      <c r="AZ90" s="544"/>
      <c r="BA90" s="544"/>
      <c r="BB90" s="544"/>
      <c r="BC90" s="544"/>
      <c r="BD90" s="544"/>
    </row>
    <row r="91" spans="1:56" s="7" customFormat="1" ht="2.25" customHeight="1">
      <c r="A91" s="496"/>
      <c r="B91" s="496"/>
      <c r="C91" s="496"/>
      <c r="D91" s="496"/>
      <c r="E91" s="784"/>
      <c r="F91" s="784"/>
      <c r="G91" s="544"/>
      <c r="H91" s="411"/>
      <c r="I91" s="253"/>
      <c r="J91" s="253"/>
      <c r="K91" s="253"/>
      <c r="L91" s="253"/>
      <c r="M91" s="253"/>
      <c r="N91" s="253"/>
      <c r="O91" s="253"/>
      <c r="P91" s="253"/>
      <c r="Q91" s="253"/>
      <c r="R91" s="253"/>
      <c r="S91" s="253"/>
      <c r="T91" s="253"/>
      <c r="U91" s="253"/>
      <c r="V91" s="690"/>
      <c r="W91" s="166"/>
      <c r="X91" s="803"/>
      <c r="Y91" s="580"/>
      <c r="Z91" s="580"/>
      <c r="AA91" s="580"/>
      <c r="AB91" s="580"/>
      <c r="AC91" s="580"/>
      <c r="AD91" s="581"/>
      <c r="AE91" s="581"/>
      <c r="AF91" s="581"/>
      <c r="AG91" s="581"/>
      <c r="AH91" s="581"/>
      <c r="AI91" s="581"/>
      <c r="AJ91" s="581"/>
      <c r="AK91" s="581"/>
      <c r="AL91" s="581"/>
      <c r="AM91" s="807"/>
      <c r="AN91" s="544"/>
      <c r="AO91" s="544"/>
      <c r="AP91" s="544"/>
      <c r="AQ91" s="544"/>
      <c r="AR91" s="544"/>
      <c r="AS91" s="544"/>
      <c r="AT91" s="544"/>
      <c r="AU91" s="544"/>
      <c r="AV91" s="544"/>
      <c r="AW91" s="544"/>
      <c r="AX91" s="544"/>
      <c r="AY91" s="544"/>
      <c r="AZ91" s="544"/>
      <c r="BA91" s="544"/>
      <c r="BB91" s="544"/>
      <c r="BC91" s="544"/>
      <c r="BD91" s="544"/>
    </row>
    <row r="92" spans="1:56" s="7" customFormat="1" ht="11.25" customHeight="1">
      <c r="A92" s="496"/>
      <c r="B92" s="496"/>
      <c r="C92" s="496"/>
      <c r="D92" s="496"/>
      <c r="E92" s="784"/>
      <c r="F92" s="784"/>
      <c r="G92" s="544"/>
      <c r="H92" s="411"/>
      <c r="I92" s="691">
        <f>IF(ZRB!G70=0,"",""&amp;Kalkulation_Eigenstrom!AP67&amp;"")</f>
      </c>
      <c r="J92" s="253"/>
      <c r="K92" s="253"/>
      <c r="L92" s="253"/>
      <c r="M92" s="253"/>
      <c r="N92" s="253"/>
      <c r="O92" s="253"/>
      <c r="P92" s="253"/>
      <c r="Q92" s="1261">
        <f>IF(ZRB!G70=0,"",ZRB!G70)</f>
      </c>
      <c r="R92" s="1261"/>
      <c r="S92" s="1261"/>
      <c r="T92" s="1261"/>
      <c r="U92" s="1261"/>
      <c r="V92" s="1262"/>
      <c r="W92" s="166"/>
      <c r="X92" s="800"/>
      <c r="Y92" s="1204" t="s">
        <v>535</v>
      </c>
      <c r="Z92" s="1204"/>
      <c r="AA92" s="1204"/>
      <c r="AB92" s="1204"/>
      <c r="AC92" s="1204"/>
      <c r="AD92" s="1204"/>
      <c r="AE92" s="1204"/>
      <c r="AF92" s="1204"/>
      <c r="AG92" s="1204"/>
      <c r="AH92" s="1204"/>
      <c r="AI92" s="1309" t="str">
        <f>IF(OR(ZRB!G105=1,ZRB!G106=1),"keine anteilige
EEG-Umlage fällig","incl. "&amp;ROUND(ZRB!G112*100,2)&amp;" Ct/kWh
anteil. EEG-Umlage")</f>
        <v>keine anteilige
EEG-Umlage fällig</v>
      </c>
      <c r="AJ92" s="1309"/>
      <c r="AK92" s="1309"/>
      <c r="AL92" s="1309"/>
      <c r="AM92" s="583"/>
      <c r="AN92" s="544"/>
      <c r="AO92" s="544"/>
      <c r="AP92" s="544"/>
      <c r="AQ92" s="544"/>
      <c r="AR92" s="544"/>
      <c r="AS92" s="544"/>
      <c r="AT92" s="544"/>
      <c r="AU92" s="544"/>
      <c r="AV92" s="544"/>
      <c r="AW92" s="544"/>
      <c r="AX92" s="544"/>
      <c r="AY92" s="544"/>
      <c r="AZ92" s="544"/>
      <c r="BA92" s="544"/>
      <c r="BB92" s="544"/>
      <c r="BC92" s="544"/>
      <c r="BD92" s="544"/>
    </row>
    <row r="93" spans="1:56" s="7" customFormat="1" ht="2.25" customHeight="1">
      <c r="A93" s="496"/>
      <c r="B93" s="496"/>
      <c r="C93" s="496"/>
      <c r="D93" s="496"/>
      <c r="E93" s="784"/>
      <c r="F93" s="784"/>
      <c r="G93" s="544"/>
      <c r="H93" s="411"/>
      <c r="I93" s="1264" t="s">
        <v>318</v>
      </c>
      <c r="J93" s="1264"/>
      <c r="K93" s="1264"/>
      <c r="L93" s="1264"/>
      <c r="M93" s="1264"/>
      <c r="N93" s="1264"/>
      <c r="O93" s="1264"/>
      <c r="P93" s="1264"/>
      <c r="Q93" s="1264"/>
      <c r="R93" s="253"/>
      <c r="S93" s="253"/>
      <c r="T93" s="253"/>
      <c r="U93" s="253"/>
      <c r="V93" s="690"/>
      <c r="W93" s="166"/>
      <c r="X93" s="800"/>
      <c r="Y93" s="1204"/>
      <c r="Z93" s="1204"/>
      <c r="AA93" s="1204"/>
      <c r="AB93" s="1204"/>
      <c r="AC93" s="1204"/>
      <c r="AD93" s="1204"/>
      <c r="AE93" s="1204"/>
      <c r="AF93" s="1204"/>
      <c r="AG93" s="1204"/>
      <c r="AH93" s="1204"/>
      <c r="AI93" s="1309"/>
      <c r="AJ93" s="1309"/>
      <c r="AK93" s="1309"/>
      <c r="AL93" s="1309"/>
      <c r="AM93" s="583"/>
      <c r="AN93" s="544"/>
      <c r="AO93" s="544"/>
      <c r="AP93" s="544"/>
      <c r="AQ93" s="544"/>
      <c r="AR93" s="544"/>
      <c r="AS93" s="544"/>
      <c r="AT93" s="544"/>
      <c r="AU93" s="544"/>
      <c r="AV93" s="544"/>
      <c r="AW93" s="544"/>
      <c r="AX93" s="544"/>
      <c r="AY93" s="544"/>
      <c r="AZ93" s="544"/>
      <c r="BA93" s="544"/>
      <c r="BB93" s="544"/>
      <c r="BC93" s="544"/>
      <c r="BD93" s="544"/>
    </row>
    <row r="94" spans="1:56" s="7" customFormat="1" ht="11.25" customHeight="1">
      <c r="A94" s="496"/>
      <c r="B94" s="496"/>
      <c r="C94" s="496"/>
      <c r="D94" s="496"/>
      <c r="E94" s="784"/>
      <c r="F94" s="784"/>
      <c r="G94" s="544"/>
      <c r="H94" s="411"/>
      <c r="I94" s="1264"/>
      <c r="J94" s="1264"/>
      <c r="K94" s="1264"/>
      <c r="L94" s="1264"/>
      <c r="M94" s="1264"/>
      <c r="N94" s="1264"/>
      <c r="O94" s="1264"/>
      <c r="P94" s="1264"/>
      <c r="Q94" s="1264"/>
      <c r="R94" s="709"/>
      <c r="S94" s="709"/>
      <c r="T94" s="709"/>
      <c r="U94" s="709"/>
      <c r="V94" s="710"/>
      <c r="W94" s="166"/>
      <c r="X94" s="800"/>
      <c r="Y94" s="1308"/>
      <c r="Z94" s="1308"/>
      <c r="AA94" s="1308"/>
      <c r="AB94" s="1308"/>
      <c r="AC94" s="1308"/>
      <c r="AD94" s="1308"/>
      <c r="AE94" s="1308"/>
      <c r="AF94" s="1308"/>
      <c r="AG94" s="1308"/>
      <c r="AH94" s="1308"/>
      <c r="AI94" s="1310"/>
      <c r="AJ94" s="1310"/>
      <c r="AK94" s="1310"/>
      <c r="AL94" s="1310"/>
      <c r="AM94" s="583"/>
      <c r="AN94" s="544"/>
      <c r="AO94" s="544"/>
      <c r="AP94" s="544"/>
      <c r="AQ94" s="544"/>
      <c r="AR94" s="544"/>
      <c r="AS94" s="544"/>
      <c r="AT94" s="544"/>
      <c r="AU94" s="544"/>
      <c r="AV94" s="544"/>
      <c r="AW94" s="544"/>
      <c r="AX94" s="544"/>
      <c r="AY94" s="544"/>
      <c r="AZ94" s="544"/>
      <c r="BA94" s="544"/>
      <c r="BB94" s="544"/>
      <c r="BC94" s="544"/>
      <c r="BD94" s="544"/>
    </row>
    <row r="95" spans="1:56" s="7" customFormat="1" ht="2.25" customHeight="1">
      <c r="A95" s="496"/>
      <c r="B95" s="496"/>
      <c r="C95" s="496"/>
      <c r="D95" s="496"/>
      <c r="E95" s="784"/>
      <c r="F95" s="784"/>
      <c r="G95" s="544"/>
      <c r="H95" s="411"/>
      <c r="I95" s="253"/>
      <c r="J95" s="253"/>
      <c r="K95" s="253"/>
      <c r="L95" s="253"/>
      <c r="M95" s="253"/>
      <c r="N95" s="253"/>
      <c r="O95" s="253"/>
      <c r="P95" s="253"/>
      <c r="Q95" s="253"/>
      <c r="R95" s="253"/>
      <c r="S95" s="253"/>
      <c r="T95" s="253"/>
      <c r="U95" s="253"/>
      <c r="V95" s="690"/>
      <c r="W95" s="166"/>
      <c r="X95" s="790"/>
      <c r="Y95" s="1220">
        <f>IF(ZRB!G5=1,"","Beim geplanten Eigenstromverbrauch von "&amp;ROUND(ZRB!I31,2)*100&amp;"% und einer 
Kapitalverzinsung von "&amp;ROUND(ZRB!F58*100,1)&amp;"% liegen die Kosten des Eigen-
stromverbrauchs bei (["&amp;ROUND(ZRB!G86,0)&amp;" € / "&amp;ROUND(ZRB!G30,0)&amp;" kWh]+"&amp;ROUND(ZRB!G112*100,2)&amp;" Ct/kWh):")</f>
      </c>
      <c r="Z95" s="1221"/>
      <c r="AA95" s="1221"/>
      <c r="AB95" s="1221"/>
      <c r="AC95" s="1221"/>
      <c r="AD95" s="1221"/>
      <c r="AE95" s="1221"/>
      <c r="AF95" s="1221"/>
      <c r="AG95" s="1221"/>
      <c r="AH95" s="1222"/>
      <c r="AI95" s="1255">
        <f>IF(ZRB!G5=1,"","1 kWh Eigenstrom kostet:")</f>
      </c>
      <c r="AJ95" s="1256"/>
      <c r="AK95" s="1256"/>
      <c r="AL95" s="1257"/>
      <c r="AM95" s="453"/>
      <c r="AN95" s="544"/>
      <c r="AO95" s="544"/>
      <c r="AP95" s="544"/>
      <c r="AQ95" s="544"/>
      <c r="AR95" s="544"/>
      <c r="AS95" s="544"/>
      <c r="AT95" s="544"/>
      <c r="AU95" s="544"/>
      <c r="AV95" s="544"/>
      <c r="AW95" s="544"/>
      <c r="AX95" s="544"/>
      <c r="AY95" s="544"/>
      <c r="AZ95" s="544"/>
      <c r="BA95" s="544"/>
      <c r="BB95" s="544"/>
      <c r="BC95" s="544"/>
      <c r="BD95" s="544"/>
    </row>
    <row r="96" spans="1:56" s="7" customFormat="1" ht="11.25" customHeight="1">
      <c r="A96" s="496"/>
      <c r="B96" s="496"/>
      <c r="C96" s="496"/>
      <c r="D96" s="496"/>
      <c r="E96" s="784"/>
      <c r="F96" s="784"/>
      <c r="G96" s="544"/>
      <c r="H96" s="411"/>
      <c r="I96" s="691">
        <f>IF(ZRB!G72=0,"",""&amp;Kalkulation_Eigenstrom!AP71&amp;"")</f>
      </c>
      <c r="J96" s="253"/>
      <c r="K96" s="253"/>
      <c r="L96" s="253"/>
      <c r="M96" s="253"/>
      <c r="N96" s="253"/>
      <c r="O96" s="253"/>
      <c r="P96" s="253"/>
      <c r="Q96" s="1261">
        <f>IF(ZRB!G72=0,"",ZRB!G72)</f>
      </c>
      <c r="R96" s="1261"/>
      <c r="S96" s="1261"/>
      <c r="T96" s="1261"/>
      <c r="U96" s="1261"/>
      <c r="V96" s="1262"/>
      <c r="W96" s="166"/>
      <c r="X96" s="790"/>
      <c r="Y96" s="1223"/>
      <c r="Z96" s="1224"/>
      <c r="AA96" s="1224"/>
      <c r="AB96" s="1224"/>
      <c r="AC96" s="1224"/>
      <c r="AD96" s="1224"/>
      <c r="AE96" s="1224"/>
      <c r="AF96" s="1224"/>
      <c r="AG96" s="1224"/>
      <c r="AH96" s="1225"/>
      <c r="AI96" s="1258"/>
      <c r="AJ96" s="1259"/>
      <c r="AK96" s="1259"/>
      <c r="AL96" s="1260"/>
      <c r="AM96" s="453"/>
      <c r="AN96" s="544"/>
      <c r="AO96" s="544"/>
      <c r="AP96" s="544"/>
      <c r="AQ96" s="544"/>
      <c r="AR96" s="544"/>
      <c r="AS96" s="544"/>
      <c r="AT96" s="544"/>
      <c r="AU96" s="544"/>
      <c r="AV96" s="544"/>
      <c r="AW96" s="544"/>
      <c r="AX96" s="544"/>
      <c r="AY96" s="544"/>
      <c r="AZ96" s="544"/>
      <c r="BA96" s="544"/>
      <c r="BB96" s="544"/>
      <c r="BC96" s="544"/>
      <c r="BD96" s="544"/>
    </row>
    <row r="97" spans="1:56" s="7" customFormat="1" ht="2.25" customHeight="1">
      <c r="A97" s="496"/>
      <c r="B97" s="496"/>
      <c r="C97" s="496"/>
      <c r="D97" s="496"/>
      <c r="E97" s="784"/>
      <c r="F97" s="784"/>
      <c r="G97" s="544"/>
      <c r="H97" s="411"/>
      <c r="I97" s="253"/>
      <c r="J97" s="253"/>
      <c r="K97" s="253"/>
      <c r="L97" s="253"/>
      <c r="M97" s="253"/>
      <c r="N97" s="253"/>
      <c r="O97" s="253"/>
      <c r="P97" s="253"/>
      <c r="Q97" s="253"/>
      <c r="R97" s="253"/>
      <c r="S97" s="253"/>
      <c r="T97" s="253"/>
      <c r="U97" s="253"/>
      <c r="V97" s="690"/>
      <c r="W97" s="166"/>
      <c r="X97" s="790"/>
      <c r="Y97" s="1223"/>
      <c r="Z97" s="1224"/>
      <c r="AA97" s="1224"/>
      <c r="AB97" s="1224"/>
      <c r="AC97" s="1224"/>
      <c r="AD97" s="1224"/>
      <c r="AE97" s="1224"/>
      <c r="AF97" s="1224"/>
      <c r="AG97" s="1224"/>
      <c r="AH97" s="1225"/>
      <c r="AI97" s="1230">
        <f>IF(ZRB!G33=1,"",IF(ZRB!G5=1,"",ZRB!G113*100))</f>
      </c>
      <c r="AJ97" s="1231"/>
      <c r="AK97" s="1231"/>
      <c r="AL97" s="1232"/>
      <c r="AM97" s="453"/>
      <c r="AN97" s="544"/>
      <c r="AO97" s="544"/>
      <c r="AP97" s="544"/>
      <c r="AQ97" s="544"/>
      <c r="AR97" s="544"/>
      <c r="AS97" s="544"/>
      <c r="AT97" s="544"/>
      <c r="AU97" s="544"/>
      <c r="AV97" s="544"/>
      <c r="AW97" s="544"/>
      <c r="AX97" s="544"/>
      <c r="AY97" s="544"/>
      <c r="AZ97" s="544"/>
      <c r="BA97" s="544"/>
      <c r="BB97" s="544"/>
      <c r="BC97" s="544"/>
      <c r="BD97" s="544"/>
    </row>
    <row r="98" spans="1:56" s="7" customFormat="1" ht="11.25" customHeight="1">
      <c r="A98" s="496"/>
      <c r="B98" s="496"/>
      <c r="C98" s="496"/>
      <c r="D98" s="496"/>
      <c r="E98" s="784"/>
      <c r="F98" s="784"/>
      <c r="G98" s="544"/>
      <c r="H98" s="411"/>
      <c r="I98" s="691">
        <f>IF(ZRB!G73=0,"",""&amp;Kalkulation_Eigenstrom!AP73&amp;"")</f>
      </c>
      <c r="J98" s="253"/>
      <c r="K98" s="253"/>
      <c r="L98" s="253"/>
      <c r="M98" s="253"/>
      <c r="N98" s="253"/>
      <c r="O98" s="253"/>
      <c r="P98" s="253"/>
      <c r="Q98" s="1261">
        <f>IF(ZRB!G73=0,"",ZRB!G73)</f>
      </c>
      <c r="R98" s="1261"/>
      <c r="S98" s="1261"/>
      <c r="T98" s="1261"/>
      <c r="U98" s="1261"/>
      <c r="V98" s="1262"/>
      <c r="W98" s="486"/>
      <c r="X98" s="790"/>
      <c r="Y98" s="1223"/>
      <c r="Z98" s="1224"/>
      <c r="AA98" s="1224"/>
      <c r="AB98" s="1224"/>
      <c r="AC98" s="1224"/>
      <c r="AD98" s="1224"/>
      <c r="AE98" s="1224"/>
      <c r="AF98" s="1224"/>
      <c r="AG98" s="1224"/>
      <c r="AH98" s="1225"/>
      <c r="AI98" s="1230"/>
      <c r="AJ98" s="1231"/>
      <c r="AK98" s="1231"/>
      <c r="AL98" s="1232"/>
      <c r="AM98" s="453"/>
      <c r="AN98" s="544"/>
      <c r="AO98" s="544"/>
      <c r="AP98" s="544"/>
      <c r="AQ98" s="544"/>
      <c r="AR98" s="544"/>
      <c r="AS98" s="544"/>
      <c r="AT98" s="544"/>
      <c r="AU98" s="544"/>
      <c r="AV98" s="544"/>
      <c r="AW98" s="544"/>
      <c r="AX98" s="544"/>
      <c r="AY98" s="544"/>
      <c r="AZ98" s="544"/>
      <c r="BA98" s="544"/>
      <c r="BB98" s="544"/>
      <c r="BC98" s="544"/>
      <c r="BD98" s="544"/>
    </row>
    <row r="99" spans="1:56" s="7" customFormat="1" ht="2.25" customHeight="1">
      <c r="A99" s="496"/>
      <c r="B99" s="496"/>
      <c r="C99" s="496"/>
      <c r="D99" s="496"/>
      <c r="E99" s="784"/>
      <c r="F99" s="784"/>
      <c r="G99" s="544"/>
      <c r="H99" s="411"/>
      <c r="I99" s="253"/>
      <c r="J99" s="253"/>
      <c r="K99" s="253"/>
      <c r="L99" s="253"/>
      <c r="M99" s="253"/>
      <c r="N99" s="253"/>
      <c r="O99" s="253"/>
      <c r="P99" s="253"/>
      <c r="Q99" s="253"/>
      <c r="R99" s="253"/>
      <c r="S99" s="253"/>
      <c r="T99" s="253"/>
      <c r="U99" s="253"/>
      <c r="V99" s="690"/>
      <c r="W99" s="166"/>
      <c r="X99" s="790"/>
      <c r="Y99" s="1223"/>
      <c r="Z99" s="1224"/>
      <c r="AA99" s="1224"/>
      <c r="AB99" s="1224"/>
      <c r="AC99" s="1224"/>
      <c r="AD99" s="1224"/>
      <c r="AE99" s="1224"/>
      <c r="AF99" s="1224"/>
      <c r="AG99" s="1224"/>
      <c r="AH99" s="1225"/>
      <c r="AI99" s="1230"/>
      <c r="AJ99" s="1231"/>
      <c r="AK99" s="1231"/>
      <c r="AL99" s="1232"/>
      <c r="AM99" s="453"/>
      <c r="AN99" s="544"/>
      <c r="AO99" s="544"/>
      <c r="AP99" s="544"/>
      <c r="AQ99" s="544"/>
      <c r="AR99" s="544"/>
      <c r="AS99" s="544"/>
      <c r="AT99" s="544"/>
      <c r="AU99" s="544"/>
      <c r="AV99" s="544"/>
      <c r="AW99" s="544"/>
      <c r="AX99" s="544"/>
      <c r="AY99" s="544"/>
      <c r="AZ99" s="544"/>
      <c r="BA99" s="544"/>
      <c r="BB99" s="544"/>
      <c r="BC99" s="544"/>
      <c r="BD99" s="544"/>
    </row>
    <row r="100" spans="1:56" s="7" customFormat="1" ht="11.25" customHeight="1">
      <c r="A100" s="496"/>
      <c r="B100" s="496"/>
      <c r="C100" s="496"/>
      <c r="D100" s="496"/>
      <c r="E100" s="784"/>
      <c r="F100" s="784"/>
      <c r="G100" s="544"/>
      <c r="H100" s="411"/>
      <c r="I100" s="691">
        <f>IF(ZRB!G74=0,"",""&amp;Kalkulation_Eigenstrom!AP75&amp;"")</f>
      </c>
      <c r="J100" s="253"/>
      <c r="K100" s="253"/>
      <c r="L100" s="253"/>
      <c r="M100" s="253"/>
      <c r="N100" s="253"/>
      <c r="O100" s="253"/>
      <c r="P100" s="253"/>
      <c r="Q100" s="1261">
        <f>IF(ZRB!G74=0,"",ZRB!G74)</f>
      </c>
      <c r="R100" s="1261"/>
      <c r="S100" s="1261"/>
      <c r="T100" s="1261"/>
      <c r="U100" s="1261"/>
      <c r="V100" s="1262"/>
      <c r="W100" s="166"/>
      <c r="X100" s="790"/>
      <c r="Y100" s="1226"/>
      <c r="Z100" s="1227"/>
      <c r="AA100" s="1227"/>
      <c r="AB100" s="1227"/>
      <c r="AC100" s="1227"/>
      <c r="AD100" s="1227"/>
      <c r="AE100" s="1227"/>
      <c r="AF100" s="1227"/>
      <c r="AG100" s="1227"/>
      <c r="AH100" s="1228"/>
      <c r="AI100" s="1233"/>
      <c r="AJ100" s="1234"/>
      <c r="AK100" s="1234"/>
      <c r="AL100" s="1235"/>
      <c r="AM100" s="453"/>
      <c r="AN100" s="544"/>
      <c r="AO100" s="544"/>
      <c r="AP100" s="544"/>
      <c r="AQ100" s="544"/>
      <c r="AR100" s="544"/>
      <c r="AS100" s="544"/>
      <c r="AT100" s="544"/>
      <c r="AU100" s="544"/>
      <c r="AV100" s="544"/>
      <c r="AW100" s="544"/>
      <c r="AX100" s="544"/>
      <c r="AY100" s="544"/>
      <c r="AZ100" s="544"/>
      <c r="BA100" s="544"/>
      <c r="BB100" s="544"/>
      <c r="BC100" s="544"/>
      <c r="BD100" s="544"/>
    </row>
    <row r="101" spans="1:56" s="7" customFormat="1" ht="2.25" customHeight="1">
      <c r="A101" s="496"/>
      <c r="B101" s="496"/>
      <c r="C101" s="496"/>
      <c r="D101" s="496"/>
      <c r="E101" s="784"/>
      <c r="F101" s="784"/>
      <c r="G101" s="544"/>
      <c r="H101" s="411"/>
      <c r="I101" s="1264" t="s">
        <v>319</v>
      </c>
      <c r="J101" s="1264"/>
      <c r="K101" s="1264"/>
      <c r="L101" s="1264"/>
      <c r="M101" s="1264"/>
      <c r="N101" s="1264"/>
      <c r="O101" s="1264"/>
      <c r="P101" s="1264"/>
      <c r="Q101" s="253"/>
      <c r="R101" s="253"/>
      <c r="S101" s="253"/>
      <c r="T101" s="253"/>
      <c r="U101" s="253"/>
      <c r="V101" s="690"/>
      <c r="W101" s="166"/>
      <c r="X101" s="790"/>
      <c r="Y101" s="1236">
        <f>IF(ZRB!G5=1,"","Die Vollkosten des Eigenstromverbrauchs liegen in der
Berechnung bei (["&amp;ROUND(ZRB!G79,0)&amp;" € / "&amp;ROUND(ZRB!G23,0)&amp;" kWh]+ "&amp;ROUND(ZRB!G112*100,2)&amp;" Ct/kWh):")</f>
      </c>
      <c r="Z101" s="1237"/>
      <c r="AA101" s="1237"/>
      <c r="AB101" s="1237"/>
      <c r="AC101" s="1237"/>
      <c r="AD101" s="1237"/>
      <c r="AE101" s="1237"/>
      <c r="AF101" s="1237"/>
      <c r="AG101" s="1237"/>
      <c r="AH101" s="1238"/>
      <c r="AI101" s="1211">
        <f>IF(ZRB!G5=1,"",ROUND(Grafik_Kosten!K29*100,2))</f>
      </c>
      <c r="AJ101" s="1212"/>
      <c r="AK101" s="1212"/>
      <c r="AL101" s="1213"/>
      <c r="AM101" s="453"/>
      <c r="AN101" s="544"/>
      <c r="AO101" s="544"/>
      <c r="AP101" s="544"/>
      <c r="AQ101" s="544"/>
      <c r="AR101" s="544"/>
      <c r="AS101" s="544"/>
      <c r="AT101" s="544"/>
      <c r="AU101" s="544"/>
      <c r="AV101" s="544"/>
      <c r="AW101" s="544"/>
      <c r="AX101" s="544"/>
      <c r="AY101" s="544"/>
      <c r="AZ101" s="544"/>
      <c r="BA101" s="544"/>
      <c r="BB101" s="544"/>
      <c r="BC101" s="544"/>
      <c r="BD101" s="544"/>
    </row>
    <row r="102" spans="1:56" s="7" customFormat="1" ht="11.25" customHeight="1">
      <c r="A102" s="496"/>
      <c r="B102" s="496"/>
      <c r="C102" s="496"/>
      <c r="D102" s="496"/>
      <c r="E102" s="784"/>
      <c r="F102" s="784"/>
      <c r="G102" s="668"/>
      <c r="H102" s="411"/>
      <c r="I102" s="1264"/>
      <c r="J102" s="1264"/>
      <c r="K102" s="1264"/>
      <c r="L102" s="1264"/>
      <c r="M102" s="1264"/>
      <c r="N102" s="1264"/>
      <c r="O102" s="1264"/>
      <c r="P102" s="1264"/>
      <c r="Q102" s="709"/>
      <c r="R102" s="709"/>
      <c r="S102" s="709"/>
      <c r="T102" s="709"/>
      <c r="U102" s="709"/>
      <c r="V102" s="710"/>
      <c r="W102" s="166"/>
      <c r="X102" s="790"/>
      <c r="Y102" s="1239"/>
      <c r="Z102" s="1240"/>
      <c r="AA102" s="1240"/>
      <c r="AB102" s="1240"/>
      <c r="AC102" s="1240"/>
      <c r="AD102" s="1240"/>
      <c r="AE102" s="1240"/>
      <c r="AF102" s="1240"/>
      <c r="AG102" s="1240"/>
      <c r="AH102" s="1241"/>
      <c r="AI102" s="1214"/>
      <c r="AJ102" s="1215"/>
      <c r="AK102" s="1215"/>
      <c r="AL102" s="1216"/>
      <c r="AM102" s="453"/>
      <c r="AN102" s="544"/>
      <c r="AO102" s="544"/>
      <c r="AP102" s="544"/>
      <c r="AQ102" s="544"/>
      <c r="AR102" s="544"/>
      <c r="AS102" s="544"/>
      <c r="AT102" s="544"/>
      <c r="AU102" s="544"/>
      <c r="AV102" s="544"/>
      <c r="AW102" s="544"/>
      <c r="AX102" s="544"/>
      <c r="AY102" s="544"/>
      <c r="AZ102" s="544"/>
      <c r="BA102" s="544"/>
      <c r="BB102" s="544"/>
      <c r="BC102" s="544"/>
      <c r="BD102" s="544"/>
    </row>
    <row r="103" spans="1:56" s="7" customFormat="1" ht="2.25" customHeight="1">
      <c r="A103" s="496"/>
      <c r="B103" s="496"/>
      <c r="C103" s="496"/>
      <c r="D103" s="496"/>
      <c r="E103" s="784"/>
      <c r="F103" s="784"/>
      <c r="G103" s="544"/>
      <c r="H103" s="411"/>
      <c r="I103" s="253"/>
      <c r="J103" s="253"/>
      <c r="K103" s="253"/>
      <c r="L103" s="253"/>
      <c r="M103" s="253"/>
      <c r="N103" s="253"/>
      <c r="O103" s="253"/>
      <c r="P103" s="253"/>
      <c r="Q103" s="253"/>
      <c r="R103" s="253"/>
      <c r="S103" s="253"/>
      <c r="T103" s="253"/>
      <c r="U103" s="253"/>
      <c r="V103" s="690"/>
      <c r="W103" s="166"/>
      <c r="X103" s="790"/>
      <c r="Y103" s="1239"/>
      <c r="Z103" s="1240"/>
      <c r="AA103" s="1240"/>
      <c r="AB103" s="1240"/>
      <c r="AC103" s="1240"/>
      <c r="AD103" s="1240"/>
      <c r="AE103" s="1240"/>
      <c r="AF103" s="1240"/>
      <c r="AG103" s="1240"/>
      <c r="AH103" s="1241"/>
      <c r="AI103" s="1214"/>
      <c r="AJ103" s="1215"/>
      <c r="AK103" s="1215"/>
      <c r="AL103" s="1216"/>
      <c r="AM103" s="453"/>
      <c r="AN103" s="544"/>
      <c r="AO103" s="544"/>
      <c r="AP103" s="544"/>
      <c r="AQ103" s="544"/>
      <c r="AR103" s="544"/>
      <c r="AS103" s="544"/>
      <c r="AT103" s="544"/>
      <c r="AU103" s="544"/>
      <c r="AV103" s="544"/>
      <c r="AW103" s="544"/>
      <c r="AX103" s="544"/>
      <c r="AY103" s="544"/>
      <c r="AZ103" s="544"/>
      <c r="BA103" s="544"/>
      <c r="BB103" s="544"/>
      <c r="BC103" s="544"/>
      <c r="BD103" s="544"/>
    </row>
    <row r="104" spans="1:56" s="7" customFormat="1" ht="11.25" customHeight="1">
      <c r="A104" s="496"/>
      <c r="B104" s="496"/>
      <c r="C104" s="496"/>
      <c r="D104" s="496"/>
      <c r="E104" s="784"/>
      <c r="F104" s="784"/>
      <c r="G104" s="544"/>
      <c r="H104" s="411"/>
      <c r="I104" s="691">
        <f>IF(ZRB!G76=0,"",""&amp;Kalkulation_Eigenstrom!AP79&amp;"")</f>
      </c>
      <c r="J104" s="253"/>
      <c r="K104" s="253"/>
      <c r="L104" s="253"/>
      <c r="M104" s="253"/>
      <c r="N104" s="253"/>
      <c r="O104" s="253"/>
      <c r="P104" s="253"/>
      <c r="Q104" s="1261">
        <f>IF(ZRB!G76=0,"",ZRB!G76)</f>
      </c>
      <c r="R104" s="1261"/>
      <c r="S104" s="1261"/>
      <c r="T104" s="1261"/>
      <c r="U104" s="1261"/>
      <c r="V104" s="1262"/>
      <c r="W104" s="166"/>
      <c r="X104" s="790"/>
      <c r="Y104" s="1242"/>
      <c r="Z104" s="1243"/>
      <c r="AA104" s="1243"/>
      <c r="AB104" s="1243"/>
      <c r="AC104" s="1243"/>
      <c r="AD104" s="1243"/>
      <c r="AE104" s="1243"/>
      <c r="AF104" s="1243"/>
      <c r="AG104" s="1243"/>
      <c r="AH104" s="1244"/>
      <c r="AI104" s="1217"/>
      <c r="AJ104" s="1218"/>
      <c r="AK104" s="1218"/>
      <c r="AL104" s="1219"/>
      <c r="AM104" s="453"/>
      <c r="AN104" s="544"/>
      <c r="AO104" s="544"/>
      <c r="AP104" s="544"/>
      <c r="AQ104" s="544"/>
      <c r="AR104" s="544"/>
      <c r="AS104" s="544"/>
      <c r="AT104" s="544"/>
      <c r="AU104" s="544"/>
      <c r="AV104" s="544"/>
      <c r="AW104" s="544"/>
      <c r="AX104" s="544"/>
      <c r="AY104" s="544"/>
      <c r="AZ104" s="544"/>
      <c r="BA104" s="544"/>
      <c r="BB104" s="544"/>
      <c r="BC104" s="544"/>
      <c r="BD104" s="544"/>
    </row>
    <row r="105" spans="1:56" s="7" customFormat="1" ht="2.25" customHeight="1">
      <c r="A105" s="496"/>
      <c r="B105" s="496"/>
      <c r="C105" s="496"/>
      <c r="D105" s="496"/>
      <c r="E105" s="784"/>
      <c r="F105" s="784"/>
      <c r="G105" s="544"/>
      <c r="H105" s="411"/>
      <c r="I105" s="253"/>
      <c r="J105" s="253"/>
      <c r="K105" s="253"/>
      <c r="L105" s="253"/>
      <c r="M105" s="253"/>
      <c r="N105" s="253"/>
      <c r="O105" s="253"/>
      <c r="P105" s="253"/>
      <c r="Q105" s="253"/>
      <c r="R105" s="253"/>
      <c r="S105" s="253"/>
      <c r="T105" s="253"/>
      <c r="U105" s="253"/>
      <c r="V105" s="690"/>
      <c r="W105" s="166"/>
      <c r="X105" s="790"/>
      <c r="Y105" s="809"/>
      <c r="Z105" s="809"/>
      <c r="AA105" s="809"/>
      <c r="AB105" s="809"/>
      <c r="AC105" s="809"/>
      <c r="AD105" s="809"/>
      <c r="AE105" s="809"/>
      <c r="AF105" s="809"/>
      <c r="AG105" s="809"/>
      <c r="AH105" s="809"/>
      <c r="AI105" s="810"/>
      <c r="AJ105" s="810"/>
      <c r="AK105" s="810"/>
      <c r="AL105" s="810"/>
      <c r="AM105" s="453"/>
      <c r="AN105" s="544"/>
      <c r="AO105" s="544"/>
      <c r="AP105" s="544"/>
      <c r="AQ105" s="544"/>
      <c r="AR105" s="544"/>
      <c r="AS105" s="544"/>
      <c r="AT105" s="544"/>
      <c r="AU105" s="544"/>
      <c r="AV105" s="544"/>
      <c r="AW105" s="544"/>
      <c r="AX105" s="544"/>
      <c r="AY105" s="544"/>
      <c r="AZ105" s="544"/>
      <c r="BA105" s="544"/>
      <c r="BB105" s="544"/>
      <c r="BC105" s="544"/>
      <c r="BD105" s="544"/>
    </row>
    <row r="106" spans="1:56" s="7" customFormat="1" ht="11.25" customHeight="1">
      <c r="A106" s="496"/>
      <c r="B106" s="496"/>
      <c r="C106" s="496"/>
      <c r="D106" s="496"/>
      <c r="E106" s="784"/>
      <c r="F106" s="784"/>
      <c r="G106" s="544"/>
      <c r="H106" s="411"/>
      <c r="I106" s="691">
        <f>IF(ZRB!G77=0,"",""&amp;Kalkulation_Eigenstrom!AP81&amp;"")</f>
      </c>
      <c r="J106" s="253"/>
      <c r="K106" s="253"/>
      <c r="L106" s="253"/>
      <c r="M106" s="253"/>
      <c r="N106" s="253"/>
      <c r="O106" s="253"/>
      <c r="P106" s="253"/>
      <c r="Q106" s="1261">
        <f>IF(ZRB!G77=0,"",ZRB!G77)</f>
      </c>
      <c r="R106" s="1261"/>
      <c r="S106" s="1261"/>
      <c r="T106" s="1261"/>
      <c r="U106" s="1261"/>
      <c r="V106" s="1262"/>
      <c r="W106" s="166"/>
      <c r="X106" s="797"/>
      <c r="Y106" s="1248" t="s">
        <v>328</v>
      </c>
      <c r="Z106" s="1248"/>
      <c r="AA106" s="1248"/>
      <c r="AB106" s="1248"/>
      <c r="AC106" s="1248"/>
      <c r="AD106" s="1248"/>
      <c r="AE106" s="1248"/>
      <c r="AF106" s="1248"/>
      <c r="AG106" s="1248"/>
      <c r="AH106" s="1248"/>
      <c r="AI106" s="1248"/>
      <c r="AJ106" s="1248"/>
      <c r="AK106" s="1248"/>
      <c r="AL106" s="1248"/>
      <c r="AM106" s="453"/>
      <c r="AN106" s="544"/>
      <c r="AO106" s="544"/>
      <c r="AP106" s="544"/>
      <c r="AQ106" s="544"/>
      <c r="AR106" s="544"/>
      <c r="AS106" s="544"/>
      <c r="AT106" s="544"/>
      <c r="AU106" s="544"/>
      <c r="AV106" s="544"/>
      <c r="AW106" s="544"/>
      <c r="AX106" s="544"/>
      <c r="AY106" s="544"/>
      <c r="AZ106" s="544"/>
      <c r="BA106" s="544"/>
      <c r="BB106" s="544"/>
      <c r="BC106" s="544"/>
      <c r="BD106" s="544"/>
    </row>
    <row r="107" spans="1:56" s="7" customFormat="1" ht="2.25" customHeight="1">
      <c r="A107" s="496"/>
      <c r="B107" s="496"/>
      <c r="C107" s="496"/>
      <c r="D107" s="496"/>
      <c r="E107" s="784"/>
      <c r="F107" s="784"/>
      <c r="G107" s="544"/>
      <c r="H107" s="504"/>
      <c r="I107" s="505"/>
      <c r="J107" s="505"/>
      <c r="K107" s="505"/>
      <c r="L107" s="505"/>
      <c r="M107" s="505"/>
      <c r="N107" s="505"/>
      <c r="O107" s="505"/>
      <c r="P107" s="505"/>
      <c r="Q107" s="505"/>
      <c r="R107" s="505"/>
      <c r="S107" s="505"/>
      <c r="T107" s="505"/>
      <c r="U107" s="505"/>
      <c r="V107" s="665"/>
      <c r="W107" s="166"/>
      <c r="X107" s="797"/>
      <c r="Y107" s="1248"/>
      <c r="Z107" s="1248"/>
      <c r="AA107" s="1248"/>
      <c r="AB107" s="1248"/>
      <c r="AC107" s="1248"/>
      <c r="AD107" s="1248"/>
      <c r="AE107" s="1248"/>
      <c r="AF107" s="1248"/>
      <c r="AG107" s="1248"/>
      <c r="AH107" s="1248"/>
      <c r="AI107" s="1248"/>
      <c r="AJ107" s="1248"/>
      <c r="AK107" s="1248"/>
      <c r="AL107" s="1248"/>
      <c r="AM107" s="453"/>
      <c r="AN107" s="544"/>
      <c r="AO107" s="544"/>
      <c r="AP107" s="544"/>
      <c r="AQ107" s="544"/>
      <c r="AR107" s="544"/>
      <c r="AS107" s="544"/>
      <c r="AT107" s="544"/>
      <c r="AU107" s="544"/>
      <c r="AV107" s="544"/>
      <c r="AW107" s="544"/>
      <c r="AX107" s="544"/>
      <c r="AY107" s="544"/>
      <c r="AZ107" s="544"/>
      <c r="BA107" s="544"/>
      <c r="BB107" s="544"/>
      <c r="BC107" s="544"/>
      <c r="BD107" s="544"/>
    </row>
    <row r="108" spans="1:56" ht="11.25" customHeight="1">
      <c r="A108" s="496"/>
      <c r="B108" s="496"/>
      <c r="C108" s="496"/>
      <c r="D108" s="496"/>
      <c r="E108" s="784"/>
      <c r="F108" s="784"/>
      <c r="G108" s="544"/>
      <c r="H108" s="661"/>
      <c r="I108" s="667"/>
      <c r="J108" s="661"/>
      <c r="K108" s="661"/>
      <c r="L108" s="661"/>
      <c r="M108" s="661"/>
      <c r="N108" s="661"/>
      <c r="O108" s="661"/>
      <c r="P108" s="661"/>
      <c r="Q108" s="1275"/>
      <c r="R108" s="1275"/>
      <c r="S108" s="1275"/>
      <c r="T108" s="1275"/>
      <c r="U108" s="1275"/>
      <c r="V108" s="1275"/>
      <c r="W108" s="166"/>
      <c r="X108" s="797"/>
      <c r="Y108" s="1248"/>
      <c r="Z108" s="1248"/>
      <c r="AA108" s="1248"/>
      <c r="AB108" s="1248"/>
      <c r="AC108" s="1248"/>
      <c r="AD108" s="1248"/>
      <c r="AE108" s="1248"/>
      <c r="AF108" s="1248"/>
      <c r="AG108" s="1248"/>
      <c r="AH108" s="1248"/>
      <c r="AI108" s="1248"/>
      <c r="AJ108" s="1248"/>
      <c r="AK108" s="1248"/>
      <c r="AL108" s="1248"/>
      <c r="AM108" s="453"/>
      <c r="AN108" s="544"/>
      <c r="AO108" s="544"/>
      <c r="AP108" s="544"/>
      <c r="AQ108" s="544"/>
      <c r="AR108" s="544"/>
      <c r="AS108" s="544"/>
      <c r="AT108" s="544"/>
      <c r="AU108" s="544"/>
      <c r="AV108" s="544"/>
      <c r="AW108" s="544"/>
      <c r="AX108" s="544"/>
      <c r="AY108" s="544"/>
      <c r="AZ108" s="544"/>
      <c r="BA108" s="544"/>
      <c r="BB108" s="544"/>
      <c r="BC108" s="544"/>
      <c r="BD108" s="544"/>
    </row>
    <row r="109" spans="1:56" s="7" customFormat="1" ht="2.25" customHeight="1">
      <c r="A109" s="496"/>
      <c r="B109" s="496"/>
      <c r="C109" s="496"/>
      <c r="D109" s="496"/>
      <c r="E109" s="784"/>
      <c r="F109" s="784"/>
      <c r="G109" s="544"/>
      <c r="H109" s="278"/>
      <c r="I109" s="279"/>
      <c r="J109" s="279"/>
      <c r="K109" s="279"/>
      <c r="L109" s="279"/>
      <c r="M109" s="279"/>
      <c r="N109" s="279"/>
      <c r="O109" s="279"/>
      <c r="P109" s="280"/>
      <c r="Q109" s="280"/>
      <c r="R109" s="280"/>
      <c r="S109" s="280"/>
      <c r="T109" s="280"/>
      <c r="U109" s="280"/>
      <c r="V109" s="281"/>
      <c r="W109" s="166"/>
      <c r="X109" s="797"/>
      <c r="Y109" s="1248"/>
      <c r="Z109" s="1248"/>
      <c r="AA109" s="1248"/>
      <c r="AB109" s="1248"/>
      <c r="AC109" s="1248"/>
      <c r="AD109" s="1248"/>
      <c r="AE109" s="1248"/>
      <c r="AF109" s="1248"/>
      <c r="AG109" s="1248"/>
      <c r="AH109" s="1248"/>
      <c r="AI109" s="1248"/>
      <c r="AJ109" s="1248"/>
      <c r="AK109" s="1248"/>
      <c r="AL109" s="1248"/>
      <c r="AM109" s="453"/>
      <c r="AN109" s="544"/>
      <c r="AO109" s="544"/>
      <c r="AP109" s="544"/>
      <c r="AQ109" s="544"/>
      <c r="AR109" s="544"/>
      <c r="AS109" s="544"/>
      <c r="AT109" s="544"/>
      <c r="AU109" s="544"/>
      <c r="AV109" s="544"/>
      <c r="AW109" s="544"/>
      <c r="AX109" s="544"/>
      <c r="AY109" s="544"/>
      <c r="AZ109" s="544"/>
      <c r="BA109" s="544"/>
      <c r="BB109" s="544"/>
      <c r="BC109" s="544"/>
      <c r="BD109" s="544"/>
    </row>
    <row r="110" spans="1:56" s="7" customFormat="1" ht="11.25" customHeight="1">
      <c r="A110" s="496"/>
      <c r="B110" s="496"/>
      <c r="C110" s="496"/>
      <c r="D110" s="496"/>
      <c r="E110" s="784"/>
      <c r="F110" s="784"/>
      <c r="G110" s="544"/>
      <c r="H110" s="961" t="s">
        <v>476</v>
      </c>
      <c r="I110" s="962"/>
      <c r="J110" s="962"/>
      <c r="K110" s="1184" t="str">
        <f>"(im ø der "&amp;ZRB!G89&amp;" J. Laufzeit)"</f>
        <v>(im ø der 20 J. Laufzeit)</v>
      </c>
      <c r="L110" s="1184"/>
      <c r="M110" s="1184"/>
      <c r="N110" s="1184"/>
      <c r="O110" s="1184"/>
      <c r="P110" s="1184"/>
      <c r="Q110" s="1276">
        <f>ZRB!G82+ZRB!G85</f>
        <v>0</v>
      </c>
      <c r="R110" s="1276"/>
      <c r="S110" s="1276"/>
      <c r="T110" s="1276"/>
      <c r="U110" s="1276"/>
      <c r="V110" s="1277"/>
      <c r="W110" s="166"/>
      <c r="X110" s="798"/>
      <c r="Y110" s="484"/>
      <c r="Z110" s="484"/>
      <c r="AA110" s="378"/>
      <c r="AB110" s="478"/>
      <c r="AC110" s="478"/>
      <c r="AD110" s="478"/>
      <c r="AE110" s="478"/>
      <c r="AF110" s="478"/>
      <c r="AG110" s="478"/>
      <c r="AH110" s="478"/>
      <c r="AI110" s="478"/>
      <c r="AJ110" s="478"/>
      <c r="AK110" s="478"/>
      <c r="AL110" s="316"/>
      <c r="AM110" s="453"/>
      <c r="AN110" s="544"/>
      <c r="AO110" s="544"/>
      <c r="AP110" s="544"/>
      <c r="AQ110" s="544"/>
      <c r="AR110" s="544"/>
      <c r="AS110" s="544"/>
      <c r="AT110" s="544"/>
      <c r="AU110" s="544"/>
      <c r="AV110" s="544"/>
      <c r="AW110" s="544"/>
      <c r="AX110" s="544"/>
      <c r="AY110" s="544"/>
      <c r="AZ110" s="544"/>
      <c r="BA110" s="544"/>
      <c r="BB110" s="544"/>
      <c r="BC110" s="544"/>
      <c r="BD110" s="544"/>
    </row>
    <row r="111" spans="1:56" s="7" customFormat="1" ht="2.25" customHeight="1">
      <c r="A111" s="496"/>
      <c r="B111" s="496"/>
      <c r="C111" s="496"/>
      <c r="D111" s="496"/>
      <c r="E111" s="784"/>
      <c r="F111" s="784"/>
      <c r="G111" s="544"/>
      <c r="H111" s="961"/>
      <c r="I111" s="962"/>
      <c r="J111" s="962"/>
      <c r="K111" s="1184"/>
      <c r="L111" s="1184"/>
      <c r="M111" s="1184"/>
      <c r="N111" s="1184"/>
      <c r="O111" s="1184"/>
      <c r="P111" s="1184"/>
      <c r="Q111" s="1276"/>
      <c r="R111" s="1276"/>
      <c r="S111" s="1276"/>
      <c r="T111" s="1276"/>
      <c r="U111" s="1276"/>
      <c r="V111" s="1277"/>
      <c r="W111" s="166"/>
      <c r="X111" s="798"/>
      <c r="Y111" s="484"/>
      <c r="Z111" s="484"/>
      <c r="AA111" s="378"/>
      <c r="AB111" s="478"/>
      <c r="AC111" s="478"/>
      <c r="AD111" s="478"/>
      <c r="AE111" s="478"/>
      <c r="AF111" s="478"/>
      <c r="AG111" s="478"/>
      <c r="AH111" s="478"/>
      <c r="AI111" s="478"/>
      <c r="AJ111" s="478"/>
      <c r="AK111" s="478"/>
      <c r="AL111" s="316"/>
      <c r="AM111" s="453"/>
      <c r="AN111" s="544"/>
      <c r="AO111" s="544"/>
      <c r="AP111" s="544"/>
      <c r="AQ111" s="544"/>
      <c r="AR111" s="544"/>
      <c r="AS111" s="544"/>
      <c r="AT111" s="544"/>
      <c r="AU111" s="544"/>
      <c r="AV111" s="544"/>
      <c r="AW111" s="544"/>
      <c r="AX111" s="544"/>
      <c r="AY111" s="544"/>
      <c r="AZ111" s="544"/>
      <c r="BA111" s="544"/>
      <c r="BB111" s="544"/>
      <c r="BC111" s="544"/>
      <c r="BD111" s="544"/>
    </row>
    <row r="112" spans="1:56" ht="11.25" customHeight="1">
      <c r="A112" s="496"/>
      <c r="B112" s="496"/>
      <c r="C112" s="496"/>
      <c r="D112" s="496"/>
      <c r="E112" s="784"/>
      <c r="F112" s="784"/>
      <c r="G112" s="544"/>
      <c r="H112" s="961"/>
      <c r="I112" s="962"/>
      <c r="J112" s="962"/>
      <c r="K112" s="1184"/>
      <c r="L112" s="1184"/>
      <c r="M112" s="1184"/>
      <c r="N112" s="1184"/>
      <c r="O112" s="1184"/>
      <c r="P112" s="1184"/>
      <c r="Q112" s="1276"/>
      <c r="R112" s="1276"/>
      <c r="S112" s="1276"/>
      <c r="T112" s="1276"/>
      <c r="U112" s="1276"/>
      <c r="V112" s="1277"/>
      <c r="W112" s="166"/>
      <c r="X112" s="798"/>
      <c r="Y112" s="484"/>
      <c r="Z112" s="484"/>
      <c r="AA112" s="378"/>
      <c r="AB112" s="478"/>
      <c r="AC112" s="478"/>
      <c r="AD112" s="478"/>
      <c r="AE112" s="478"/>
      <c r="AF112" s="478"/>
      <c r="AG112" s="478"/>
      <c r="AH112" s="478"/>
      <c r="AI112" s="478"/>
      <c r="AJ112" s="478"/>
      <c r="AK112" s="478"/>
      <c r="AL112" s="316"/>
      <c r="AM112" s="453"/>
      <c r="AN112" s="544"/>
      <c r="AO112" s="544"/>
      <c r="AP112" s="544"/>
      <c r="AQ112" s="544"/>
      <c r="AR112" s="544"/>
      <c r="AS112" s="544"/>
      <c r="AT112" s="544"/>
      <c r="AU112" s="544"/>
      <c r="AV112" s="544"/>
      <c r="AW112" s="544"/>
      <c r="AX112" s="544"/>
      <c r="AY112" s="544"/>
      <c r="AZ112" s="544"/>
      <c r="BA112" s="544"/>
      <c r="BB112" s="544"/>
      <c r="BC112" s="544"/>
      <c r="BD112" s="544"/>
    </row>
    <row r="113" spans="1:56" s="7" customFormat="1" ht="2.25" customHeight="1">
      <c r="A113" s="496"/>
      <c r="B113" s="496"/>
      <c r="C113" s="496"/>
      <c r="D113" s="496"/>
      <c r="E113" s="784"/>
      <c r="F113" s="784"/>
      <c r="G113" s="544"/>
      <c r="H113" s="669"/>
      <c r="I113" s="670"/>
      <c r="J113" s="670"/>
      <c r="K113" s="671"/>
      <c r="L113" s="671"/>
      <c r="M113" s="671"/>
      <c r="N113" s="671"/>
      <c r="O113" s="671"/>
      <c r="P113" s="672"/>
      <c r="Q113" s="673"/>
      <c r="R113" s="673"/>
      <c r="S113" s="673"/>
      <c r="T113" s="673"/>
      <c r="U113" s="673"/>
      <c r="V113" s="674"/>
      <c r="W113" s="166"/>
      <c r="X113" s="798"/>
      <c r="Y113" s="484"/>
      <c r="Z113" s="484"/>
      <c r="AA113" s="378"/>
      <c r="AB113" s="478"/>
      <c r="AC113" s="478"/>
      <c r="AD113" s="478"/>
      <c r="AE113" s="478"/>
      <c r="AF113" s="478"/>
      <c r="AG113" s="478"/>
      <c r="AH113" s="478"/>
      <c r="AI113" s="478"/>
      <c r="AJ113" s="478"/>
      <c r="AK113" s="478"/>
      <c r="AL113" s="316"/>
      <c r="AM113" s="453"/>
      <c r="AN113" s="544"/>
      <c r="AO113" s="544"/>
      <c r="AP113" s="544"/>
      <c r="AQ113" s="544"/>
      <c r="AR113" s="544"/>
      <c r="AS113" s="544"/>
      <c r="AT113" s="544"/>
      <c r="AU113" s="544"/>
      <c r="AV113" s="544"/>
      <c r="AW113" s="544"/>
      <c r="AX113" s="544"/>
      <c r="AY113" s="544"/>
      <c r="AZ113" s="544"/>
      <c r="BA113" s="544"/>
      <c r="BB113" s="544"/>
      <c r="BC113" s="544"/>
      <c r="BD113" s="544"/>
    </row>
    <row r="114" spans="1:56" ht="11.25" customHeight="1">
      <c r="A114" s="496"/>
      <c r="B114" s="496"/>
      <c r="C114" s="496"/>
      <c r="D114" s="496"/>
      <c r="E114" s="784"/>
      <c r="F114" s="784"/>
      <c r="G114" s="544"/>
      <c r="H114" s="411"/>
      <c r="I114" s="1263" t="str">
        <f>"Stromverkauf / Netzeinspeisung ("&amp;ROUND(ZRB!I32*100,2)&amp;"%)"</f>
        <v>Stromverkauf / Netzeinspeisung (0%)</v>
      </c>
      <c r="J114" s="1263"/>
      <c r="K114" s="1263"/>
      <c r="L114" s="1263"/>
      <c r="M114" s="1263"/>
      <c r="N114" s="1263"/>
      <c r="O114" s="1263"/>
      <c r="P114" s="1263"/>
      <c r="Q114" s="1263"/>
      <c r="R114" s="712"/>
      <c r="S114" s="712"/>
      <c r="T114" s="1280">
        <f>ZRB!G82</f>
        <v>0</v>
      </c>
      <c r="U114" s="1280"/>
      <c r="V114" s="1281"/>
      <c r="W114" s="166"/>
      <c r="X114" s="798"/>
      <c r="Y114" s="484"/>
      <c r="Z114" s="484"/>
      <c r="AA114" s="378"/>
      <c r="AB114" s="478"/>
      <c r="AC114" s="478"/>
      <c r="AD114" s="478"/>
      <c r="AE114" s="478"/>
      <c r="AF114" s="478"/>
      <c r="AG114" s="478"/>
      <c r="AH114" s="478"/>
      <c r="AI114" s="478"/>
      <c r="AJ114" s="478"/>
      <c r="AK114" s="478"/>
      <c r="AL114" s="316"/>
      <c r="AM114" s="453"/>
      <c r="AN114" s="544"/>
      <c r="AO114" s="544"/>
      <c r="AP114" s="544"/>
      <c r="AQ114" s="544"/>
      <c r="AR114" s="544"/>
      <c r="AS114" s="544"/>
      <c r="AT114" s="544"/>
      <c r="AU114" s="544"/>
      <c r="AV114" s="544"/>
      <c r="AW114" s="544"/>
      <c r="AX114" s="544"/>
      <c r="AY114" s="544"/>
      <c r="AZ114" s="544"/>
      <c r="BA114" s="544"/>
      <c r="BB114" s="544"/>
      <c r="BC114" s="544"/>
      <c r="BD114" s="544"/>
    </row>
    <row r="115" spans="1:56" s="7" customFormat="1" ht="2.25" customHeight="1">
      <c r="A115" s="496"/>
      <c r="B115" s="496"/>
      <c r="C115" s="496"/>
      <c r="D115" s="496"/>
      <c r="E115" s="784"/>
      <c r="F115" s="784"/>
      <c r="G115" s="544"/>
      <c r="H115" s="411"/>
      <c r="I115" s="1263"/>
      <c r="J115" s="1263"/>
      <c r="K115" s="1263"/>
      <c r="L115" s="1263"/>
      <c r="M115" s="1263"/>
      <c r="N115" s="1263"/>
      <c r="O115" s="1263"/>
      <c r="P115" s="1263"/>
      <c r="Q115" s="1263"/>
      <c r="R115" s="712"/>
      <c r="S115" s="712"/>
      <c r="T115" s="1280"/>
      <c r="U115" s="1280"/>
      <c r="V115" s="1281"/>
      <c r="W115" s="166"/>
      <c r="X115" s="798"/>
      <c r="Y115" s="484"/>
      <c r="Z115" s="484"/>
      <c r="AA115" s="378"/>
      <c r="AB115" s="478"/>
      <c r="AC115" s="478"/>
      <c r="AD115" s="478"/>
      <c r="AE115" s="478"/>
      <c r="AF115" s="478"/>
      <c r="AG115" s="478"/>
      <c r="AH115" s="478"/>
      <c r="AI115" s="478"/>
      <c r="AJ115" s="478"/>
      <c r="AK115" s="478"/>
      <c r="AL115" s="316"/>
      <c r="AM115" s="453"/>
      <c r="AN115" s="544"/>
      <c r="AO115" s="544"/>
      <c r="AP115" s="544"/>
      <c r="AQ115" s="544"/>
      <c r="AR115" s="544"/>
      <c r="AS115" s="544"/>
      <c r="AT115" s="544"/>
      <c r="AU115" s="544"/>
      <c r="AV115" s="544"/>
      <c r="AW115" s="544"/>
      <c r="AX115" s="544"/>
      <c r="AY115" s="544"/>
      <c r="AZ115" s="544"/>
      <c r="BA115" s="544"/>
      <c r="BB115" s="544"/>
      <c r="BC115" s="544"/>
      <c r="BD115" s="544"/>
    </row>
    <row r="116" spans="1:56" ht="11.25" customHeight="1">
      <c r="A116" s="496"/>
      <c r="B116" s="496"/>
      <c r="C116" s="496"/>
      <c r="D116" s="496"/>
      <c r="E116" s="784"/>
      <c r="F116" s="784"/>
      <c r="G116" s="544"/>
      <c r="H116" s="411"/>
      <c r="I116" s="1263"/>
      <c r="J116" s="1263"/>
      <c r="K116" s="1263"/>
      <c r="L116" s="1263"/>
      <c r="M116" s="1263"/>
      <c r="N116" s="1263"/>
      <c r="O116" s="1263"/>
      <c r="P116" s="1263"/>
      <c r="Q116" s="1263"/>
      <c r="R116" s="712"/>
      <c r="S116" s="712"/>
      <c r="T116" s="1280"/>
      <c r="U116" s="1280"/>
      <c r="V116" s="1281"/>
      <c r="W116" s="166"/>
      <c r="X116" s="798"/>
      <c r="Y116" s="484"/>
      <c r="Z116" s="484"/>
      <c r="AA116" s="378"/>
      <c r="AB116" s="478"/>
      <c r="AC116" s="478"/>
      <c r="AD116" s="478"/>
      <c r="AE116" s="478"/>
      <c r="AF116" s="478"/>
      <c r="AG116" s="478"/>
      <c r="AH116" s="478"/>
      <c r="AI116" s="478"/>
      <c r="AJ116" s="478"/>
      <c r="AK116" s="478"/>
      <c r="AL116" s="316"/>
      <c r="AM116" s="453"/>
      <c r="AN116" s="544"/>
      <c r="AO116" s="544"/>
      <c r="AP116" s="544"/>
      <c r="AQ116" s="544"/>
      <c r="AR116" s="544"/>
      <c r="AS116" s="544"/>
      <c r="AT116" s="544"/>
      <c r="AU116" s="544"/>
      <c r="AV116" s="544"/>
      <c r="AW116" s="544"/>
      <c r="AX116" s="544"/>
      <c r="AY116" s="544"/>
      <c r="AZ116" s="544"/>
      <c r="BA116" s="544"/>
      <c r="BB116" s="544"/>
      <c r="BC116" s="544"/>
      <c r="BD116" s="544"/>
    </row>
    <row r="117" spans="1:56" s="7" customFormat="1" ht="2.25" customHeight="1">
      <c r="A117" s="496"/>
      <c r="B117" s="496"/>
      <c r="C117" s="496"/>
      <c r="D117" s="496"/>
      <c r="E117" s="784"/>
      <c r="F117" s="784"/>
      <c r="G117" s="544"/>
      <c r="H117" s="669"/>
      <c r="I117" s="670"/>
      <c r="J117" s="670"/>
      <c r="K117" s="671"/>
      <c r="L117" s="671"/>
      <c r="M117" s="671"/>
      <c r="N117" s="671"/>
      <c r="O117" s="671"/>
      <c r="P117" s="672"/>
      <c r="Q117" s="673"/>
      <c r="R117" s="673"/>
      <c r="S117" s="673"/>
      <c r="T117" s="673"/>
      <c r="U117" s="673"/>
      <c r="V117" s="674"/>
      <c r="W117" s="166"/>
      <c r="X117" s="798"/>
      <c r="Y117" s="484"/>
      <c r="Z117" s="484"/>
      <c r="AA117" s="378"/>
      <c r="AB117" s="478"/>
      <c r="AC117" s="478"/>
      <c r="AD117" s="478"/>
      <c r="AE117" s="478"/>
      <c r="AF117" s="478"/>
      <c r="AG117" s="478"/>
      <c r="AH117" s="478"/>
      <c r="AI117" s="478"/>
      <c r="AJ117" s="478"/>
      <c r="AK117" s="478"/>
      <c r="AL117" s="316"/>
      <c r="AM117" s="453"/>
      <c r="AN117" s="544"/>
      <c r="AO117" s="544"/>
      <c r="AP117" s="544"/>
      <c r="AQ117" s="544"/>
      <c r="AR117" s="544"/>
      <c r="AS117" s="544"/>
      <c r="AT117" s="544"/>
      <c r="AU117" s="544"/>
      <c r="AV117" s="544"/>
      <c r="AW117" s="544"/>
      <c r="AX117" s="544"/>
      <c r="AY117" s="544"/>
      <c r="AZ117" s="544"/>
      <c r="BA117" s="544"/>
      <c r="BB117" s="544"/>
      <c r="BC117" s="544"/>
      <c r="BD117" s="544"/>
    </row>
    <row r="118" spans="1:56" ht="11.25" customHeight="1">
      <c r="A118" s="496"/>
      <c r="B118" s="496"/>
      <c r="C118" s="496"/>
      <c r="D118" s="496"/>
      <c r="E118" s="784"/>
      <c r="F118" s="784"/>
      <c r="G118" s="544"/>
      <c r="H118" s="669"/>
      <c r="I118" s="693">
        <f>IF(ZRB!G91=1,"","("&amp;ZRB!G90&amp;" Jahre ("&amp;ROUND(ZRB!G91*100,1)&amp;"%) Einspeisevergütung n. EEG, "&amp;ZRB!G89-ZRB!G90&amp;" Jahre ("&amp;ROUND(ZRB!G92*100,1)&amp;"%) eigene Stromvermarktung)")</f>
      </c>
      <c r="J118" s="670"/>
      <c r="K118" s="671"/>
      <c r="L118" s="671"/>
      <c r="M118" s="671"/>
      <c r="N118" s="671"/>
      <c r="O118" s="671"/>
      <c r="P118" s="672"/>
      <c r="Q118" s="673"/>
      <c r="R118" s="673"/>
      <c r="S118" s="673"/>
      <c r="T118" s="673"/>
      <c r="U118" s="673"/>
      <c r="V118" s="674"/>
      <c r="W118" s="166"/>
      <c r="X118" s="798"/>
      <c r="Y118" s="484"/>
      <c r="Z118" s="484"/>
      <c r="AA118" s="378"/>
      <c r="AB118" s="478"/>
      <c r="AC118" s="478"/>
      <c r="AD118" s="478"/>
      <c r="AE118" s="478"/>
      <c r="AF118" s="478"/>
      <c r="AG118" s="478"/>
      <c r="AH118" s="478"/>
      <c r="AI118" s="478"/>
      <c r="AJ118" s="478"/>
      <c r="AK118" s="478"/>
      <c r="AL118" s="316"/>
      <c r="AM118" s="453"/>
      <c r="AN118" s="544"/>
      <c r="AO118" s="544"/>
      <c r="AP118" s="544"/>
      <c r="AQ118" s="544"/>
      <c r="AR118" s="544"/>
      <c r="AS118" s="544"/>
      <c r="AT118" s="544"/>
      <c r="AU118" s="544"/>
      <c r="AV118" s="544"/>
      <c r="AW118" s="544"/>
      <c r="AX118" s="544"/>
      <c r="AY118" s="544"/>
      <c r="AZ118" s="544"/>
      <c r="BA118" s="544"/>
      <c r="BB118" s="544"/>
      <c r="BC118" s="544"/>
      <c r="BD118" s="544"/>
    </row>
    <row r="119" spans="1:56" s="7" customFormat="1" ht="2.25" customHeight="1">
      <c r="A119" s="496"/>
      <c r="B119" s="496"/>
      <c r="C119" s="496"/>
      <c r="D119" s="496"/>
      <c r="E119" s="784"/>
      <c r="F119" s="784"/>
      <c r="G119" s="544"/>
      <c r="H119" s="411"/>
      <c r="I119" s="1247" t="str">
        <f>"&gt; EEG-Vergütung (0.-"&amp;ZRB!G90&amp;".J.; "&amp;ZRB!G12&amp;")"</f>
        <v>&gt; EEG-Vergütung (0.-20.J.; August  2014)</v>
      </c>
      <c r="J119" s="1247"/>
      <c r="K119" s="1247"/>
      <c r="L119" s="1247"/>
      <c r="M119" s="1247"/>
      <c r="N119" s="1247"/>
      <c r="O119" s="1247"/>
      <c r="P119" s="1247"/>
      <c r="Q119" s="1247"/>
      <c r="R119" s="255"/>
      <c r="S119" s="255"/>
      <c r="T119" s="1270">
        <f>IF(ZRB!G80=0,"",ZRB!G80)</f>
      </c>
      <c r="U119" s="1270"/>
      <c r="V119" s="1271"/>
      <c r="W119" s="166"/>
      <c r="X119" s="798"/>
      <c r="Y119" s="484"/>
      <c r="Z119" s="484"/>
      <c r="AA119" s="378"/>
      <c r="AB119" s="478"/>
      <c r="AC119" s="478"/>
      <c r="AD119" s="478"/>
      <c r="AE119" s="478"/>
      <c r="AF119" s="478"/>
      <c r="AG119" s="478"/>
      <c r="AH119" s="478"/>
      <c r="AI119" s="478"/>
      <c r="AJ119" s="478"/>
      <c r="AK119" s="478"/>
      <c r="AL119" s="316"/>
      <c r="AM119" s="453"/>
      <c r="AN119" s="544"/>
      <c r="AO119" s="544"/>
      <c r="AP119" s="544"/>
      <c r="AQ119" s="544"/>
      <c r="AR119" s="544"/>
      <c r="AS119" s="544"/>
      <c r="AT119" s="544"/>
      <c r="AU119" s="544"/>
      <c r="AV119" s="544"/>
      <c r="AW119" s="544"/>
      <c r="AX119" s="544"/>
      <c r="AY119" s="544"/>
      <c r="AZ119" s="544"/>
      <c r="BA119" s="544"/>
      <c r="BB119" s="544"/>
      <c r="BC119" s="544"/>
      <c r="BD119" s="544"/>
    </row>
    <row r="120" spans="1:56" ht="11.25" customHeight="1">
      <c r="A120" s="496"/>
      <c r="B120" s="496"/>
      <c r="C120" s="496"/>
      <c r="D120" s="496"/>
      <c r="E120" s="784"/>
      <c r="F120" s="784"/>
      <c r="G120" s="544"/>
      <c r="H120" s="411"/>
      <c r="I120" s="1247"/>
      <c r="J120" s="1247"/>
      <c r="K120" s="1247"/>
      <c r="L120" s="1247"/>
      <c r="M120" s="1247"/>
      <c r="N120" s="1247"/>
      <c r="O120" s="1247"/>
      <c r="P120" s="1247"/>
      <c r="Q120" s="1247"/>
      <c r="R120" s="1294">
        <f>IF(ZRB!G89&gt;ZRB!G90,"Verrechnungsanteil","")</f>
      </c>
      <c r="S120" s="1282">
        <f>IF(ZRB!G89&gt;ZRB!G90,""&amp;ROUND(ZRB!G91*100,1)&amp;"%","")</f>
      </c>
      <c r="T120" s="1270"/>
      <c r="U120" s="1270"/>
      <c r="V120" s="1271"/>
      <c r="W120" s="166"/>
      <c r="X120" s="798"/>
      <c r="Y120" s="484"/>
      <c r="Z120" s="484"/>
      <c r="AA120" s="378"/>
      <c r="AB120" s="478"/>
      <c r="AC120" s="478"/>
      <c r="AD120" s="478"/>
      <c r="AE120" s="478"/>
      <c r="AF120" s="478"/>
      <c r="AG120" s="478"/>
      <c r="AH120" s="478"/>
      <c r="AI120" s="478"/>
      <c r="AJ120" s="478"/>
      <c r="AK120" s="478"/>
      <c r="AL120" s="316"/>
      <c r="AM120" s="453"/>
      <c r="AN120" s="544"/>
      <c r="AO120" s="544"/>
      <c r="AP120" s="544"/>
      <c r="AQ120" s="544"/>
      <c r="AR120" s="544"/>
      <c r="AS120" s="544"/>
      <c r="AT120" s="544"/>
      <c r="AU120" s="544"/>
      <c r="AV120" s="544"/>
      <c r="AW120" s="544"/>
      <c r="AX120" s="544"/>
      <c r="AY120" s="544"/>
      <c r="AZ120" s="544"/>
      <c r="BA120" s="544"/>
      <c r="BB120" s="544"/>
      <c r="BC120" s="544"/>
      <c r="BD120" s="544"/>
    </row>
    <row r="121" spans="1:56" s="7" customFormat="1" ht="2.25" customHeight="1">
      <c r="A121" s="496"/>
      <c r="B121" s="496"/>
      <c r="C121" s="496"/>
      <c r="D121" s="496"/>
      <c r="E121" s="784"/>
      <c r="F121" s="784"/>
      <c r="G121" s="544"/>
      <c r="H121" s="411"/>
      <c r="I121" s="255"/>
      <c r="J121" s="255"/>
      <c r="K121" s="255"/>
      <c r="L121" s="255"/>
      <c r="M121" s="255"/>
      <c r="N121" s="255"/>
      <c r="O121" s="255"/>
      <c r="P121" s="255"/>
      <c r="Q121" s="255"/>
      <c r="R121" s="1294"/>
      <c r="S121" s="1282"/>
      <c r="T121" s="253"/>
      <c r="U121" s="253"/>
      <c r="V121" s="690"/>
      <c r="W121" s="166"/>
      <c r="X121" s="798"/>
      <c r="Y121" s="484"/>
      <c r="Z121" s="484"/>
      <c r="AA121" s="378"/>
      <c r="AB121" s="478"/>
      <c r="AC121" s="478"/>
      <c r="AD121" s="478"/>
      <c r="AE121" s="478"/>
      <c r="AF121" s="478"/>
      <c r="AG121" s="478"/>
      <c r="AH121" s="478"/>
      <c r="AI121" s="478"/>
      <c r="AJ121" s="478"/>
      <c r="AK121" s="478"/>
      <c r="AL121" s="316"/>
      <c r="AM121" s="453"/>
      <c r="AN121" s="544"/>
      <c r="AO121" s="544"/>
      <c r="AP121" s="544"/>
      <c r="AQ121" s="544"/>
      <c r="AR121" s="544"/>
      <c r="AS121" s="544"/>
      <c r="AT121" s="544"/>
      <c r="AU121" s="544"/>
      <c r="AV121" s="544"/>
      <c r="AW121" s="544"/>
      <c r="AX121" s="544"/>
      <c r="AY121" s="544"/>
      <c r="AZ121" s="544"/>
      <c r="BA121" s="544"/>
      <c r="BB121" s="544"/>
      <c r="BC121" s="544"/>
      <c r="BD121" s="544"/>
    </row>
    <row r="122" spans="1:56" ht="11.25" customHeight="1">
      <c r="A122" s="496"/>
      <c r="B122" s="496"/>
      <c r="C122" s="496"/>
      <c r="D122" s="496"/>
      <c r="E122" s="784"/>
      <c r="F122" s="784"/>
      <c r="G122" s="544"/>
      <c r="H122" s="411"/>
      <c r="I122" s="1269">
        <f>Kalkulation_Eigenstrom!BF39</f>
        <v>0</v>
      </c>
      <c r="J122" s="1269"/>
      <c r="K122" s="1272">
        <f>ZRB!L9</f>
        <v>10</v>
      </c>
      <c r="L122" s="1272"/>
      <c r="M122" s="1273">
        <f>ZRB!Q9</f>
        <v>0.1275</v>
      </c>
      <c r="N122" s="1273"/>
      <c r="O122" s="1265">
        <f>IF(ZRB!P9=0,"",ZRB!P9)</f>
      </c>
      <c r="P122" s="1265"/>
      <c r="Q122" s="1265"/>
      <c r="R122" s="1294"/>
      <c r="S122" s="1282"/>
      <c r="T122" s="1261"/>
      <c r="U122" s="1261"/>
      <c r="V122" s="1262"/>
      <c r="W122" s="166"/>
      <c r="X122" s="798"/>
      <c r="Y122" s="484"/>
      <c r="Z122" s="484"/>
      <c r="AA122" s="378"/>
      <c r="AB122" s="478"/>
      <c r="AC122" s="478"/>
      <c r="AD122" s="478"/>
      <c r="AE122" s="477"/>
      <c r="AF122" s="477"/>
      <c r="AG122" s="477"/>
      <c r="AH122" s="477"/>
      <c r="AI122" s="477"/>
      <c r="AJ122" s="477"/>
      <c r="AK122" s="477"/>
      <c r="AL122" s="316"/>
      <c r="AM122" s="453"/>
      <c r="AN122" s="544"/>
      <c r="AO122" s="544"/>
      <c r="AP122" s="544"/>
      <c r="AQ122" s="544"/>
      <c r="AR122" s="544"/>
      <c r="AS122" s="544"/>
      <c r="AT122" s="544"/>
      <c r="AU122" s="544"/>
      <c r="AV122" s="544"/>
      <c r="AW122" s="544"/>
      <c r="AX122" s="544"/>
      <c r="AY122" s="544"/>
      <c r="AZ122" s="544"/>
      <c r="BA122" s="544"/>
      <c r="BB122" s="544"/>
      <c r="BC122" s="544"/>
      <c r="BD122" s="544"/>
    </row>
    <row r="123" spans="1:56" s="7" customFormat="1" ht="2.25" customHeight="1">
      <c r="A123" s="496"/>
      <c r="B123" s="496"/>
      <c r="C123" s="496"/>
      <c r="D123" s="496"/>
      <c r="E123" s="784"/>
      <c r="F123" s="784"/>
      <c r="G123" s="544"/>
      <c r="H123" s="411"/>
      <c r="I123" s="698"/>
      <c r="J123" s="698"/>
      <c r="K123" s="698"/>
      <c r="L123" s="698"/>
      <c r="M123" s="699"/>
      <c r="N123" s="699"/>
      <c r="O123" s="699"/>
      <c r="P123" s="699"/>
      <c r="Q123" s="699"/>
      <c r="R123" s="1294"/>
      <c r="S123" s="1282"/>
      <c r="T123" s="253"/>
      <c r="U123" s="253"/>
      <c r="V123" s="690"/>
      <c r="W123" s="166"/>
      <c r="X123" s="798"/>
      <c r="Y123" s="484"/>
      <c r="Z123" s="484"/>
      <c r="AA123" s="378"/>
      <c r="AB123" s="478"/>
      <c r="AC123" s="478"/>
      <c r="AD123" s="478"/>
      <c r="AE123" s="477"/>
      <c r="AF123" s="477"/>
      <c r="AG123" s="477"/>
      <c r="AH123" s="477"/>
      <c r="AI123" s="477"/>
      <c r="AJ123" s="477"/>
      <c r="AK123" s="477"/>
      <c r="AL123" s="316"/>
      <c r="AM123" s="453"/>
      <c r="AN123" s="544"/>
      <c r="AO123" s="544"/>
      <c r="AP123" s="544"/>
      <c r="AQ123" s="544"/>
      <c r="AR123" s="544"/>
      <c r="AS123" s="544"/>
      <c r="AT123" s="544"/>
      <c r="AU123" s="544"/>
      <c r="AV123" s="544"/>
      <c r="AW123" s="544"/>
      <c r="AX123" s="544"/>
      <c r="AY123" s="544"/>
      <c r="AZ123" s="544"/>
      <c r="BA123" s="544"/>
      <c r="BB123" s="544"/>
      <c r="BC123" s="544"/>
      <c r="BD123" s="544"/>
    </row>
    <row r="124" spans="1:56" ht="11.25" customHeight="1">
      <c r="A124" s="496"/>
      <c r="B124" s="496"/>
      <c r="C124" s="496"/>
      <c r="D124" s="496"/>
      <c r="E124" s="784"/>
      <c r="F124" s="784"/>
      <c r="G124" s="544"/>
      <c r="H124" s="411"/>
      <c r="I124" s="1269">
        <f>IF(O124&gt;0,K122,"")</f>
        <v>10</v>
      </c>
      <c r="J124" s="1269"/>
      <c r="K124" s="1272">
        <f>IF(O124&gt;0,ZRB!L10,"")</f>
        <v>40</v>
      </c>
      <c r="L124" s="1272"/>
      <c r="M124" s="1273">
        <f>IF(O124&gt;0,ZRB!Q10,"")</f>
        <v>0.124</v>
      </c>
      <c r="N124" s="1273"/>
      <c r="O124" s="1265">
        <f>IF(ZRB!P10=0,"",ZRB!P10)</f>
      </c>
      <c r="P124" s="1265"/>
      <c r="Q124" s="1265"/>
      <c r="R124" s="1294"/>
      <c r="S124" s="1282"/>
      <c r="T124" s="1261"/>
      <c r="U124" s="1261"/>
      <c r="V124" s="1262"/>
      <c r="W124" s="166"/>
      <c r="X124" s="798"/>
      <c r="Y124" s="484"/>
      <c r="Z124" s="484"/>
      <c r="AA124" s="378"/>
      <c r="AB124" s="478"/>
      <c r="AC124" s="478"/>
      <c r="AD124" s="478"/>
      <c r="AE124" s="477"/>
      <c r="AF124" s="477"/>
      <c r="AG124" s="477"/>
      <c r="AH124" s="477"/>
      <c r="AI124" s="477"/>
      <c r="AJ124" s="477"/>
      <c r="AK124" s="477"/>
      <c r="AL124" s="316"/>
      <c r="AM124" s="453"/>
      <c r="AN124" s="544"/>
      <c r="AO124" s="544"/>
      <c r="AP124" s="544"/>
      <c r="AQ124" s="544"/>
      <c r="AR124" s="544"/>
      <c r="AS124" s="544"/>
      <c r="AT124" s="544"/>
      <c r="AU124" s="544"/>
      <c r="AV124" s="544"/>
      <c r="AW124" s="544"/>
      <c r="AX124" s="544"/>
      <c r="AY124" s="544"/>
      <c r="AZ124" s="544"/>
      <c r="BA124" s="544"/>
      <c r="BB124" s="544"/>
      <c r="BC124" s="544"/>
      <c r="BD124" s="544"/>
    </row>
    <row r="125" spans="1:56" s="7" customFormat="1" ht="2.25" customHeight="1">
      <c r="A125" s="496"/>
      <c r="B125" s="496"/>
      <c r="C125" s="496"/>
      <c r="D125" s="496"/>
      <c r="E125" s="784"/>
      <c r="F125" s="784"/>
      <c r="G125" s="544"/>
      <c r="H125" s="411"/>
      <c r="I125" s="698"/>
      <c r="J125" s="698"/>
      <c r="K125" s="698"/>
      <c r="L125" s="698"/>
      <c r="M125" s="699"/>
      <c r="N125" s="699"/>
      <c r="O125" s="699"/>
      <c r="P125" s="699"/>
      <c r="Q125" s="699"/>
      <c r="R125" s="1294"/>
      <c r="S125" s="1282"/>
      <c r="T125" s="253"/>
      <c r="U125" s="253"/>
      <c r="V125" s="690"/>
      <c r="W125" s="166"/>
      <c r="X125" s="798"/>
      <c r="Y125" s="484"/>
      <c r="Z125" s="484"/>
      <c r="AA125" s="378"/>
      <c r="AB125" s="478"/>
      <c r="AC125" s="478"/>
      <c r="AD125" s="478"/>
      <c r="AE125" s="478"/>
      <c r="AF125" s="478"/>
      <c r="AG125" s="478"/>
      <c r="AH125" s="478"/>
      <c r="AI125" s="478"/>
      <c r="AJ125" s="478"/>
      <c r="AK125" s="478"/>
      <c r="AL125" s="316"/>
      <c r="AM125" s="453"/>
      <c r="AN125" s="544"/>
      <c r="AO125" s="544"/>
      <c r="AP125" s="544"/>
      <c r="AQ125" s="544"/>
      <c r="AR125" s="544"/>
      <c r="AS125" s="544"/>
      <c r="AT125" s="544"/>
      <c r="AU125" s="544"/>
      <c r="AV125" s="544"/>
      <c r="AW125" s="544"/>
      <c r="AX125" s="544"/>
      <c r="AY125" s="544"/>
      <c r="AZ125" s="544"/>
      <c r="BA125" s="544"/>
      <c r="BB125" s="544"/>
      <c r="BC125" s="544"/>
      <c r="BD125" s="544"/>
    </row>
    <row r="126" spans="1:56" ht="11.25" customHeight="1">
      <c r="A126" s="496"/>
      <c r="B126" s="496"/>
      <c r="C126" s="496"/>
      <c r="D126" s="496"/>
      <c r="E126" s="784"/>
      <c r="F126" s="784"/>
      <c r="G126" s="544"/>
      <c r="H126" s="411"/>
      <c r="I126" s="1269">
        <f>IF(O126&gt;0,K124,"")</f>
        <v>40</v>
      </c>
      <c r="J126" s="1269"/>
      <c r="K126" s="1272">
        <f>IF(O126&gt;0,ZRB!L11,"")</f>
        <v>1000</v>
      </c>
      <c r="L126" s="1272"/>
      <c r="M126" s="1273">
        <f>IF(O126&gt;0,ZRB!Q11,"")</f>
        <v>0.1109</v>
      </c>
      <c r="N126" s="1273"/>
      <c r="O126" s="1265">
        <f>IF(ZRB!P11=0,"",ZRB!P11)</f>
      </c>
      <c r="P126" s="1265"/>
      <c r="Q126" s="1265"/>
      <c r="R126" s="1294"/>
      <c r="S126" s="1282"/>
      <c r="T126" s="1261"/>
      <c r="U126" s="1261"/>
      <c r="V126" s="1262"/>
      <c r="W126" s="166"/>
      <c r="X126" s="798"/>
      <c r="Y126" s="484"/>
      <c r="Z126" s="484"/>
      <c r="AA126" s="378"/>
      <c r="AB126" s="478"/>
      <c r="AC126" s="478"/>
      <c r="AD126" s="1015">
        <f>ZRB!B35</f>
      </c>
      <c r="AE126" s="1015"/>
      <c r="AF126" s="1015"/>
      <c r="AG126" s="1015"/>
      <c r="AH126" s="1015"/>
      <c r="AI126" s="1015"/>
      <c r="AJ126" s="1015"/>
      <c r="AK126" s="1015"/>
      <c r="AL126" s="799"/>
      <c r="AM126" s="453"/>
      <c r="AN126" s="544"/>
      <c r="AO126" s="544"/>
      <c r="AP126" s="544"/>
      <c r="AQ126" s="544"/>
      <c r="AR126" s="544"/>
      <c r="AS126" s="544"/>
      <c r="AT126" s="544"/>
      <c r="AU126" s="544"/>
      <c r="AV126" s="544"/>
      <c r="AW126" s="544"/>
      <c r="AX126" s="544"/>
      <c r="AY126" s="544"/>
      <c r="AZ126" s="544"/>
      <c r="BA126" s="544"/>
      <c r="BB126" s="544"/>
      <c r="BC126" s="544"/>
      <c r="BD126" s="544"/>
    </row>
    <row r="127" spans="1:56" s="7" customFormat="1" ht="2.25" customHeight="1">
      <c r="A127" s="496"/>
      <c r="B127" s="496"/>
      <c r="C127" s="496"/>
      <c r="D127" s="496"/>
      <c r="E127" s="784"/>
      <c r="F127" s="784"/>
      <c r="G127" s="544"/>
      <c r="H127" s="411"/>
      <c r="I127" s="698"/>
      <c r="J127" s="698"/>
      <c r="K127" s="698"/>
      <c r="L127" s="698"/>
      <c r="M127" s="699"/>
      <c r="N127" s="699"/>
      <c r="O127" s="698"/>
      <c r="P127" s="698"/>
      <c r="Q127" s="698"/>
      <c r="R127" s="1294"/>
      <c r="S127" s="1282"/>
      <c r="T127" s="253"/>
      <c r="U127" s="253"/>
      <c r="V127" s="690"/>
      <c r="W127" s="166"/>
      <c r="X127" s="798"/>
      <c r="Y127" s="484"/>
      <c r="Z127" s="484"/>
      <c r="AA127" s="460"/>
      <c r="AB127" s="478"/>
      <c r="AC127" s="485"/>
      <c r="AD127" s="1015"/>
      <c r="AE127" s="1015"/>
      <c r="AF127" s="1015"/>
      <c r="AG127" s="1015"/>
      <c r="AH127" s="1015"/>
      <c r="AI127" s="1015"/>
      <c r="AJ127" s="1015"/>
      <c r="AK127" s="1015"/>
      <c r="AL127" s="316"/>
      <c r="AM127" s="453"/>
      <c r="AN127" s="544"/>
      <c r="AO127" s="544"/>
      <c r="AP127" s="544"/>
      <c r="AQ127" s="544"/>
      <c r="AR127" s="544"/>
      <c r="AS127" s="544"/>
      <c r="AT127" s="544"/>
      <c r="AU127" s="544"/>
      <c r="AV127" s="544"/>
      <c r="AW127" s="544"/>
      <c r="AX127" s="544"/>
      <c r="AY127" s="544"/>
      <c r="AZ127" s="544"/>
      <c r="BA127" s="544"/>
      <c r="BB127" s="544"/>
      <c r="BC127" s="544"/>
      <c r="BD127" s="544"/>
    </row>
    <row r="128" spans="1:56" ht="11.25" customHeight="1">
      <c r="A128" s="496"/>
      <c r="B128" s="496"/>
      <c r="C128" s="496"/>
      <c r="D128" s="496"/>
      <c r="E128" s="784"/>
      <c r="F128" s="784"/>
      <c r="G128" s="544"/>
      <c r="H128" s="411"/>
      <c r="I128" s="1269" t="str">
        <f>IF(O128&gt;0,IF(K128&gt;0,"über",""),"")</f>
        <v>über</v>
      </c>
      <c r="J128" s="1269"/>
      <c r="K128" s="1272">
        <f>IF(O128&gt;0,ZRB!L12,"")</f>
        <v>1000</v>
      </c>
      <c r="L128" s="1272"/>
      <c r="M128" s="1273">
        <f>IF(O128&gt;0,ZRB!Q12,"")</f>
        <v>0</v>
      </c>
      <c r="N128" s="1273"/>
      <c r="O128" s="1283">
        <f>IF(ZRB!P12=0,"",ZRB!P12)</f>
      </c>
      <c r="P128" s="1283"/>
      <c r="Q128" s="1283"/>
      <c r="R128" s="1294"/>
      <c r="S128" s="1282"/>
      <c r="T128" s="1261"/>
      <c r="U128" s="1261"/>
      <c r="V128" s="1262"/>
      <c r="W128" s="166"/>
      <c r="X128" s="798"/>
      <c r="Y128" s="484"/>
      <c r="Z128" s="484"/>
      <c r="AA128" s="460"/>
      <c r="AB128" s="478"/>
      <c r="AC128" s="477"/>
      <c r="AD128" s="1028">
        <f>IF(ZRB!G33=1,"Der nicht selbst genutzte Strom wird mit 0,0000 €/kWh bewertet.","")</f>
      </c>
      <c r="AE128" s="1028"/>
      <c r="AF128" s="1028"/>
      <c r="AG128" s="1028"/>
      <c r="AH128" s="1028"/>
      <c r="AI128" s="1028"/>
      <c r="AJ128" s="1028"/>
      <c r="AK128" s="1028"/>
      <c r="AL128" s="799"/>
      <c r="AM128" s="453"/>
      <c r="AN128" s="544"/>
      <c r="AO128" s="544"/>
      <c r="AP128" s="544"/>
      <c r="AQ128" s="544"/>
      <c r="AR128" s="544"/>
      <c r="AS128" s="544"/>
      <c r="AT128" s="544"/>
      <c r="AU128" s="544"/>
      <c r="AV128" s="544"/>
      <c r="AW128" s="544"/>
      <c r="AX128" s="544"/>
      <c r="AY128" s="544"/>
      <c r="AZ128" s="544"/>
      <c r="BA128" s="544"/>
      <c r="BB128" s="544"/>
      <c r="BC128" s="544"/>
      <c r="BD128" s="544"/>
    </row>
    <row r="129" spans="1:56" s="7" customFormat="1" ht="2.25" customHeight="1">
      <c r="A129" s="496"/>
      <c r="B129" s="496"/>
      <c r="C129" s="496"/>
      <c r="D129" s="496"/>
      <c r="E129" s="784"/>
      <c r="F129" s="784"/>
      <c r="G129" s="544"/>
      <c r="H129" s="411"/>
      <c r="I129" s="255"/>
      <c r="J129" s="255"/>
      <c r="K129" s="255"/>
      <c r="L129" s="255"/>
      <c r="M129" s="666"/>
      <c r="N129" s="666"/>
      <c r="O129" s="675"/>
      <c r="P129" s="675"/>
      <c r="Q129" s="675"/>
      <c r="R129" s="1294"/>
      <c r="S129" s="1282"/>
      <c r="T129" s="253"/>
      <c r="U129" s="253"/>
      <c r="V129" s="690"/>
      <c r="W129" s="166"/>
      <c r="X129" s="798"/>
      <c r="Y129" s="484"/>
      <c r="Z129" s="484"/>
      <c r="AA129" s="380"/>
      <c r="AB129" s="316"/>
      <c r="AC129" s="316"/>
      <c r="AD129" s="316"/>
      <c r="AE129" s="316"/>
      <c r="AF129" s="316"/>
      <c r="AG129" s="316"/>
      <c r="AH129" s="316"/>
      <c r="AI129" s="316"/>
      <c r="AJ129" s="316"/>
      <c r="AK129" s="316"/>
      <c r="AL129" s="316"/>
      <c r="AM129" s="453"/>
      <c r="AN129" s="544"/>
      <c r="AO129" s="544"/>
      <c r="AP129" s="544"/>
      <c r="AQ129" s="544"/>
      <c r="AR129" s="544"/>
      <c r="AS129" s="544"/>
      <c r="AT129" s="544"/>
      <c r="AU129" s="544"/>
      <c r="AV129" s="544"/>
      <c r="AW129" s="544"/>
      <c r="AX129" s="544"/>
      <c r="AY129" s="544"/>
      <c r="AZ129" s="544"/>
      <c r="BA129" s="544"/>
      <c r="BB129" s="544"/>
      <c r="BC129" s="544"/>
      <c r="BD129" s="544"/>
    </row>
    <row r="130" spans="1:56" ht="11.25" customHeight="1">
      <c r="A130" s="496"/>
      <c r="B130" s="496"/>
      <c r="C130" s="496"/>
      <c r="D130" s="496"/>
      <c r="E130" s="784"/>
      <c r="F130" s="784"/>
      <c r="G130" s="544"/>
      <c r="H130" s="411"/>
      <c r="I130" s="959"/>
      <c r="J130" s="959"/>
      <c r="K130" s="964"/>
      <c r="L130" s="964"/>
      <c r="M130" s="1295"/>
      <c r="N130" s="1295"/>
      <c r="O130" s="1274"/>
      <c r="P130" s="1274"/>
      <c r="Q130" s="1274"/>
      <c r="R130" s="1294"/>
      <c r="S130" s="683"/>
      <c r="T130" s="1261"/>
      <c r="U130" s="1261"/>
      <c r="V130" s="1262"/>
      <c r="W130" s="166"/>
      <c r="X130" s="798"/>
      <c r="Y130" s="484"/>
      <c r="Z130" s="484"/>
      <c r="AA130" s="380"/>
      <c r="AB130" s="789"/>
      <c r="AC130" s="789"/>
      <c r="AD130" s="789"/>
      <c r="AE130" s="789"/>
      <c r="AF130" s="789"/>
      <c r="AG130" s="789"/>
      <c r="AH130" s="789"/>
      <c r="AI130" s="789"/>
      <c r="AJ130" s="789"/>
      <c r="AK130" s="789"/>
      <c r="AL130" s="789"/>
      <c r="AM130" s="453"/>
      <c r="AN130" s="544"/>
      <c r="AO130" s="544"/>
      <c r="AP130" s="544"/>
      <c r="AQ130" s="544"/>
      <c r="AR130" s="544"/>
      <c r="AS130" s="544"/>
      <c r="AT130" s="544"/>
      <c r="AU130" s="544"/>
      <c r="AV130" s="544"/>
      <c r="AW130" s="544"/>
      <c r="AX130" s="544"/>
      <c r="AY130" s="544"/>
      <c r="AZ130" s="544"/>
      <c r="BA130" s="544"/>
      <c r="BB130" s="544"/>
      <c r="BC130" s="544"/>
      <c r="BD130" s="544"/>
    </row>
    <row r="131" spans="1:56" s="7" customFormat="1" ht="2.25" customHeight="1">
      <c r="A131" s="496"/>
      <c r="B131" s="496"/>
      <c r="C131" s="496"/>
      <c r="D131" s="496"/>
      <c r="E131" s="784"/>
      <c r="F131" s="784"/>
      <c r="G131" s="544"/>
      <c r="H131" s="411"/>
      <c r="I131" s="1247">
        <f>IF(ZRB!G89&gt;ZRB!G90,"&gt; Erlöse Eigenvermarktung ("&amp;ZRB!G90&amp;".-"&amp;ZRB!G89&amp;". Jahr)","")</f>
      </c>
      <c r="J131" s="1247"/>
      <c r="K131" s="1247"/>
      <c r="L131" s="1247"/>
      <c r="M131" s="1247"/>
      <c r="N131" s="1247"/>
      <c r="O131" s="1247"/>
      <c r="P131" s="1247"/>
      <c r="Q131" s="1247"/>
      <c r="R131" s="1294"/>
      <c r="S131" s="1292">
        <f>IF(ZRB!G89&gt;ZRB!G90,""&amp;ROUND(ZRB!G92*100,1)&amp;"%","")</f>
      </c>
      <c r="T131" s="1270">
        <f>IF(ZRB!G89&gt;ZRB!G90,IF(ZRB!G81=0,"",ZRB!G81),"")</f>
      </c>
      <c r="U131" s="1270"/>
      <c r="V131" s="1271"/>
      <c r="W131" s="166"/>
      <c r="X131" s="798"/>
      <c r="Y131" s="484"/>
      <c r="Z131" s="484"/>
      <c r="AA131" s="380"/>
      <c r="AB131" s="789"/>
      <c r="AC131" s="789"/>
      <c r="AD131" s="789"/>
      <c r="AE131" s="789"/>
      <c r="AF131" s="789"/>
      <c r="AG131" s="789"/>
      <c r="AH131" s="789"/>
      <c r="AI131" s="789"/>
      <c r="AJ131" s="789"/>
      <c r="AK131" s="789"/>
      <c r="AL131" s="789"/>
      <c r="AM131" s="453"/>
      <c r="AN131" s="544"/>
      <c r="AO131" s="544"/>
      <c r="AP131" s="544"/>
      <c r="AQ131" s="544"/>
      <c r="AR131" s="544"/>
      <c r="AS131" s="544"/>
      <c r="AT131" s="544"/>
      <c r="AU131" s="544"/>
      <c r="AV131" s="544"/>
      <c r="AW131" s="544"/>
      <c r="AX131" s="544"/>
      <c r="AY131" s="544"/>
      <c r="AZ131" s="544"/>
      <c r="BA131" s="544"/>
      <c r="BB131" s="544"/>
      <c r="BC131" s="544"/>
      <c r="BD131" s="544"/>
    </row>
    <row r="132" spans="1:56" s="7" customFormat="1" ht="11.25" customHeight="1">
      <c r="A132" s="496"/>
      <c r="B132" s="496"/>
      <c r="C132" s="496"/>
      <c r="D132" s="496"/>
      <c r="E132" s="784"/>
      <c r="F132" s="784"/>
      <c r="G132" s="544"/>
      <c r="H132" s="411"/>
      <c r="I132" s="1247"/>
      <c r="J132" s="1247"/>
      <c r="K132" s="1247"/>
      <c r="L132" s="1247"/>
      <c r="M132" s="1247"/>
      <c r="N132" s="1247"/>
      <c r="O132" s="1247"/>
      <c r="P132" s="1247"/>
      <c r="Q132" s="1247"/>
      <c r="R132" s="1294"/>
      <c r="S132" s="1292"/>
      <c r="T132" s="1270"/>
      <c r="U132" s="1270"/>
      <c r="V132" s="1271"/>
      <c r="W132" s="166"/>
      <c r="X132" s="798"/>
      <c r="Y132" s="484"/>
      <c r="Z132" s="484"/>
      <c r="AA132" s="380"/>
      <c r="AB132" s="1194" t="s">
        <v>315</v>
      </c>
      <c r="AC132" s="1194"/>
      <c r="AD132" s="1194"/>
      <c r="AE132" s="1194"/>
      <c r="AF132" s="1194"/>
      <c r="AG132" s="1194"/>
      <c r="AH132" s="1194"/>
      <c r="AI132" s="1194"/>
      <c r="AJ132" s="1194"/>
      <c r="AK132" s="1194"/>
      <c r="AL132" s="460"/>
      <c r="AM132" s="453"/>
      <c r="AN132" s="544"/>
      <c r="AO132" s="544"/>
      <c r="AP132" s="544"/>
      <c r="AQ132" s="544"/>
      <c r="AR132" s="544"/>
      <c r="AS132" s="544"/>
      <c r="AT132" s="544"/>
      <c r="AU132" s="544"/>
      <c r="AV132" s="544"/>
      <c r="AW132" s="544"/>
      <c r="AX132" s="544"/>
      <c r="AY132" s="544"/>
      <c r="AZ132" s="544"/>
      <c r="BA132" s="544"/>
      <c r="BB132" s="544"/>
      <c r="BC132" s="544"/>
      <c r="BD132" s="544"/>
    </row>
    <row r="133" spans="1:56" s="7" customFormat="1" ht="2.25" customHeight="1">
      <c r="A133" s="496"/>
      <c r="B133" s="496"/>
      <c r="C133" s="496"/>
      <c r="D133" s="496"/>
      <c r="E133" s="784"/>
      <c r="F133" s="784"/>
      <c r="G133" s="544"/>
      <c r="H133" s="411"/>
      <c r="I133" s="255"/>
      <c r="J133" s="255"/>
      <c r="K133" s="255"/>
      <c r="L133" s="255"/>
      <c r="M133" s="255"/>
      <c r="N133" s="255"/>
      <c r="O133" s="255"/>
      <c r="P133" s="255"/>
      <c r="Q133" s="255"/>
      <c r="R133" s="1294"/>
      <c r="S133" s="1292"/>
      <c r="T133" s="253"/>
      <c r="U133" s="253"/>
      <c r="V133" s="690"/>
      <c r="W133" s="166"/>
      <c r="X133" s="802"/>
      <c r="Y133" s="380"/>
      <c r="Z133" s="380"/>
      <c r="AA133" s="380"/>
      <c r="AB133" s="1194"/>
      <c r="AC133" s="1194"/>
      <c r="AD133" s="1194"/>
      <c r="AE133" s="1194"/>
      <c r="AF133" s="1194"/>
      <c r="AG133" s="1194"/>
      <c r="AH133" s="1194"/>
      <c r="AI133" s="1194"/>
      <c r="AJ133" s="1194"/>
      <c r="AK133" s="1194"/>
      <c r="AL133" s="460"/>
      <c r="AM133" s="453"/>
      <c r="AN133" s="544"/>
      <c r="AO133" s="544"/>
      <c r="AP133" s="544"/>
      <c r="AQ133" s="544"/>
      <c r="AR133" s="544"/>
      <c r="AS133" s="544"/>
      <c r="AT133" s="544"/>
      <c r="AU133" s="544"/>
      <c r="AV133" s="544"/>
      <c r="AW133" s="544"/>
      <c r="AX133" s="544"/>
      <c r="AY133" s="544"/>
      <c r="AZ133" s="544"/>
      <c r="BA133" s="544"/>
      <c r="BB133" s="544"/>
      <c r="BC133" s="544"/>
      <c r="BD133" s="544"/>
    </row>
    <row r="134" spans="1:56" ht="11.25" customHeight="1">
      <c r="A134" s="496"/>
      <c r="B134" s="496"/>
      <c r="C134" s="496"/>
      <c r="D134" s="496"/>
      <c r="E134" s="784"/>
      <c r="F134" s="784"/>
      <c r="G134" s="544"/>
      <c r="H134" s="411"/>
      <c r="I134" s="1293">
        <f>IF(ZRB!G89&gt;ZRB!G90,"Erlös-Erwartung:","")</f>
      </c>
      <c r="J134" s="1293"/>
      <c r="K134" s="1293"/>
      <c r="L134" s="1293"/>
      <c r="M134" s="1273">
        <f>IF(ZRB!G89&gt;ZRB!G90,IF(ZRB!G93=0,"",ZRB!G93),"")</f>
      </c>
      <c r="N134" s="1273"/>
      <c r="O134" s="1283">
        <f>IF(ZRB!G89&gt;ZRB!G90,IF(ZRB!G32=0,"",ZRB!G32),"")</f>
      </c>
      <c r="P134" s="1283"/>
      <c r="Q134" s="1283"/>
      <c r="R134" s="1294"/>
      <c r="S134" s="1292"/>
      <c r="T134" s="1261"/>
      <c r="U134" s="1261"/>
      <c r="V134" s="1262"/>
      <c r="W134" s="166"/>
      <c r="X134" s="790"/>
      <c r="Y134" s="808"/>
      <c r="Z134" s="808"/>
      <c r="AA134" s="808"/>
      <c r="AB134" s="1195"/>
      <c r="AC134" s="1195"/>
      <c r="AD134" s="1195"/>
      <c r="AE134" s="1195"/>
      <c r="AF134" s="1195"/>
      <c r="AG134" s="1195"/>
      <c r="AH134" s="1195"/>
      <c r="AI134" s="1195"/>
      <c r="AJ134" s="1195"/>
      <c r="AK134" s="1195"/>
      <c r="AL134" s="808"/>
      <c r="AM134" s="453"/>
      <c r="AN134" s="544"/>
      <c r="AO134" s="544"/>
      <c r="AP134" s="544"/>
      <c r="AQ134" s="544"/>
      <c r="AR134" s="544"/>
      <c r="AS134" s="544"/>
      <c r="AT134" s="544"/>
      <c r="AU134" s="544"/>
      <c r="AV134" s="544"/>
      <c r="AW134" s="544"/>
      <c r="AX134" s="544"/>
      <c r="AY134" s="544"/>
      <c r="AZ134" s="544"/>
      <c r="BA134" s="544"/>
      <c r="BB134" s="544"/>
      <c r="BC134" s="544"/>
      <c r="BD134" s="544"/>
    </row>
    <row r="135" spans="1:56" s="7" customFormat="1" ht="2.25" customHeight="1">
      <c r="A135" s="496"/>
      <c r="B135" s="496"/>
      <c r="C135" s="496"/>
      <c r="D135" s="496"/>
      <c r="E135" s="784"/>
      <c r="F135" s="784"/>
      <c r="G135" s="544"/>
      <c r="H135" s="411"/>
      <c r="I135" s="255"/>
      <c r="J135" s="255"/>
      <c r="K135" s="255"/>
      <c r="L135" s="255"/>
      <c r="M135" s="255"/>
      <c r="N135" s="255"/>
      <c r="O135" s="255"/>
      <c r="P135" s="255"/>
      <c r="Q135" s="255"/>
      <c r="R135" s="1294"/>
      <c r="S135" s="1292"/>
      <c r="T135" s="253"/>
      <c r="U135" s="253"/>
      <c r="V135" s="690"/>
      <c r="W135" s="166"/>
      <c r="X135" s="803"/>
      <c r="Y135" s="440"/>
      <c r="Z135" s="440"/>
      <c r="AA135" s="440"/>
      <c r="AB135" s="440"/>
      <c r="AC135" s="440"/>
      <c r="AD135" s="440"/>
      <c r="AE135" s="440"/>
      <c r="AF135" s="440"/>
      <c r="AG135" s="440"/>
      <c r="AH135" s="440"/>
      <c r="AI135" s="440"/>
      <c r="AJ135" s="440"/>
      <c r="AK135" s="440"/>
      <c r="AL135" s="440"/>
      <c r="AM135" s="801"/>
      <c r="AN135" s="544"/>
      <c r="AO135" s="544"/>
      <c r="AP135" s="544"/>
      <c r="AQ135" s="544"/>
      <c r="AR135" s="544"/>
      <c r="AS135" s="544"/>
      <c r="AT135" s="544"/>
      <c r="AU135" s="544"/>
      <c r="AV135" s="544"/>
      <c r="AW135" s="544"/>
      <c r="AX135" s="544"/>
      <c r="AY135" s="544"/>
      <c r="AZ135" s="544"/>
      <c r="BA135" s="544"/>
      <c r="BB135" s="544"/>
      <c r="BC135" s="544"/>
      <c r="BD135" s="544"/>
    </row>
    <row r="136" spans="1:56" ht="11.25" customHeight="1">
      <c r="A136" s="496"/>
      <c r="B136" s="496"/>
      <c r="C136" s="496"/>
      <c r="D136" s="496"/>
      <c r="E136" s="784"/>
      <c r="F136" s="784"/>
      <c r="G136" s="544"/>
      <c r="H136" s="411"/>
      <c r="I136" s="1263" t="s">
        <v>381</v>
      </c>
      <c r="J136" s="1263"/>
      <c r="K136" s="1263"/>
      <c r="L136" s="1263"/>
      <c r="M136" s="1263"/>
      <c r="N136" s="1263"/>
      <c r="O136" s="1263"/>
      <c r="P136" s="1263"/>
      <c r="Q136" s="1263"/>
      <c r="R136" s="712"/>
      <c r="S136" s="712"/>
      <c r="T136" s="1280">
        <f>IF(ZRB!G13&lt;3,ZRB!G85,"")</f>
      </c>
      <c r="U136" s="1280"/>
      <c r="V136" s="1281"/>
      <c r="W136" s="166"/>
      <c r="X136" s="800"/>
      <c r="Y136" s="1204" t="s">
        <v>536</v>
      </c>
      <c r="Z136" s="1204"/>
      <c r="AA136" s="1204"/>
      <c r="AB136" s="1204"/>
      <c r="AC136" s="1204"/>
      <c r="AD136" s="1204"/>
      <c r="AE136" s="1204"/>
      <c r="AF136" s="1204"/>
      <c r="AG136" s="1204"/>
      <c r="AH136" s="577"/>
      <c r="AI136" s="577"/>
      <c r="AJ136" s="577"/>
      <c r="AK136" s="577"/>
      <c r="AL136" s="577"/>
      <c r="AM136" s="583"/>
      <c r="AN136" s="544"/>
      <c r="AO136" s="544"/>
      <c r="AP136" s="544"/>
      <c r="AQ136" s="544"/>
      <c r="AR136" s="544"/>
      <c r="AS136" s="544"/>
      <c r="AT136" s="544"/>
      <c r="AU136" s="544"/>
      <c r="AV136" s="544"/>
      <c r="AW136" s="544"/>
      <c r="AX136" s="544"/>
      <c r="AY136" s="544"/>
      <c r="AZ136" s="544"/>
      <c r="BA136" s="544"/>
      <c r="BB136" s="544"/>
      <c r="BC136" s="544"/>
      <c r="BD136" s="544"/>
    </row>
    <row r="137" spans="1:56" s="7" customFormat="1" ht="2.25" customHeight="1">
      <c r="A137" s="496"/>
      <c r="B137" s="496"/>
      <c r="C137" s="496"/>
      <c r="D137" s="496"/>
      <c r="E137" s="784"/>
      <c r="F137" s="784"/>
      <c r="G137" s="544"/>
      <c r="H137" s="411"/>
      <c r="I137" s="1263"/>
      <c r="J137" s="1263"/>
      <c r="K137" s="1263"/>
      <c r="L137" s="1263"/>
      <c r="M137" s="1263"/>
      <c r="N137" s="1263"/>
      <c r="O137" s="1263"/>
      <c r="P137" s="1263"/>
      <c r="Q137" s="1263"/>
      <c r="R137" s="712"/>
      <c r="S137" s="712"/>
      <c r="T137" s="1280"/>
      <c r="U137" s="1280"/>
      <c r="V137" s="1281"/>
      <c r="W137" s="166"/>
      <c r="X137" s="800"/>
      <c r="Y137" s="1204"/>
      <c r="Z137" s="1204"/>
      <c r="AA137" s="1204"/>
      <c r="AB137" s="1204"/>
      <c r="AC137" s="1204"/>
      <c r="AD137" s="1204"/>
      <c r="AE137" s="1204"/>
      <c r="AF137" s="1204"/>
      <c r="AG137" s="1204"/>
      <c r="AH137" s="577"/>
      <c r="AI137" s="577"/>
      <c r="AJ137" s="577"/>
      <c r="AK137" s="577"/>
      <c r="AL137" s="577"/>
      <c r="AM137" s="583"/>
      <c r="AN137" s="544"/>
      <c r="AO137" s="544"/>
      <c r="AP137" s="544"/>
      <c r="AQ137" s="544"/>
      <c r="AR137" s="544"/>
      <c r="AS137" s="544"/>
      <c r="AT137" s="544"/>
      <c r="AU137" s="544"/>
      <c r="AV137" s="544"/>
      <c r="AW137" s="544"/>
      <c r="AX137" s="544"/>
      <c r="AY137" s="544"/>
      <c r="AZ137" s="544"/>
      <c r="BA137" s="544"/>
      <c r="BB137" s="544"/>
      <c r="BC137" s="544"/>
      <c r="BD137" s="544"/>
    </row>
    <row r="138" spans="1:56" ht="11.25" customHeight="1">
      <c r="A138" s="496"/>
      <c r="B138" s="496"/>
      <c r="C138" s="496"/>
      <c r="D138" s="496"/>
      <c r="E138" s="784"/>
      <c r="F138" s="784"/>
      <c r="G138" s="544"/>
      <c r="H138" s="411"/>
      <c r="I138" s="1263"/>
      <c r="J138" s="1263"/>
      <c r="K138" s="1263"/>
      <c r="L138" s="1263"/>
      <c r="M138" s="1263"/>
      <c r="N138" s="1263"/>
      <c r="O138" s="1263"/>
      <c r="P138" s="1263"/>
      <c r="Q138" s="1263"/>
      <c r="R138" s="712"/>
      <c r="S138" s="712"/>
      <c r="T138" s="1280"/>
      <c r="U138" s="1280"/>
      <c r="V138" s="1281"/>
      <c r="W138" s="166"/>
      <c r="X138" s="800"/>
      <c r="Y138" s="1204"/>
      <c r="Z138" s="1204"/>
      <c r="AA138" s="1204"/>
      <c r="AB138" s="1204"/>
      <c r="AC138" s="1204"/>
      <c r="AD138" s="1204"/>
      <c r="AE138" s="1204"/>
      <c r="AF138" s="1204"/>
      <c r="AG138" s="1204"/>
      <c r="AH138" s="577"/>
      <c r="AI138" s="577"/>
      <c r="AJ138" s="577"/>
      <c r="AK138" s="720" t="s">
        <v>385</v>
      </c>
      <c r="AL138" s="577"/>
      <c r="AM138" s="583"/>
      <c r="AN138" s="544"/>
      <c r="AO138" s="544"/>
      <c r="AP138" s="544"/>
      <c r="AQ138" s="544"/>
      <c r="AR138" s="544"/>
      <c r="AS138" s="544"/>
      <c r="AT138" s="544"/>
      <c r="AU138" s="544"/>
      <c r="AV138" s="544"/>
      <c r="AW138" s="544"/>
      <c r="AX138" s="544"/>
      <c r="AY138" s="544"/>
      <c r="AZ138" s="544"/>
      <c r="BA138" s="544"/>
      <c r="BB138" s="544"/>
      <c r="BC138" s="544"/>
      <c r="BD138" s="544"/>
    </row>
    <row r="139" spans="1:56" s="7" customFormat="1" ht="2.25" customHeight="1">
      <c r="A139" s="496"/>
      <c r="B139" s="496"/>
      <c r="C139" s="496"/>
      <c r="D139" s="496"/>
      <c r="E139" s="784"/>
      <c r="F139" s="784"/>
      <c r="G139" s="544"/>
      <c r="H139" s="411"/>
      <c r="I139" s="255"/>
      <c r="J139" s="255"/>
      <c r="K139" s="255"/>
      <c r="L139" s="255"/>
      <c r="M139" s="255"/>
      <c r="N139" s="255"/>
      <c r="O139" s="255"/>
      <c r="P139" s="255"/>
      <c r="Q139" s="255"/>
      <c r="R139" s="255"/>
      <c r="S139" s="255"/>
      <c r="T139" s="253"/>
      <c r="U139" s="253"/>
      <c r="V139" s="690"/>
      <c r="W139" s="166"/>
      <c r="X139" s="790"/>
      <c r="Y139" s="1186" t="str">
        <f>"&gt; Strombezugspreis  HEUTE"</f>
        <v>&gt; Strombezugspreis  HEUTE</v>
      </c>
      <c r="Z139" s="1187"/>
      <c r="AA139" s="1187"/>
      <c r="AB139" s="1187"/>
      <c r="AC139" s="1187"/>
      <c r="AD139" s="1187"/>
      <c r="AE139" s="1187"/>
      <c r="AF139" s="1187"/>
      <c r="AG139" s="804"/>
      <c r="AH139" s="805"/>
      <c r="AI139" s="805"/>
      <c r="AJ139" s="1249">
        <f>ZRB!G98</f>
        <v>0.21</v>
      </c>
      <c r="AK139" s="1249"/>
      <c r="AL139" s="1250"/>
      <c r="AM139" s="795"/>
      <c r="AN139" s="544"/>
      <c r="AO139" s="544"/>
      <c r="AP139" s="544"/>
      <c r="AQ139" s="544"/>
      <c r="AR139" s="544"/>
      <c r="AS139" s="544"/>
      <c r="AT139" s="544"/>
      <c r="AU139" s="544"/>
      <c r="AV139" s="544"/>
      <c r="AW139" s="544"/>
      <c r="AX139" s="544"/>
      <c r="AY139" s="544"/>
      <c r="AZ139" s="544"/>
      <c r="BA139" s="544"/>
      <c r="BB139" s="544"/>
      <c r="BC139" s="544"/>
      <c r="BD139" s="544"/>
    </row>
    <row r="140" spans="1:56" ht="11.25" customHeight="1">
      <c r="A140" s="496"/>
      <c r="B140" s="496"/>
      <c r="C140" s="496"/>
      <c r="D140" s="496"/>
      <c r="E140" s="784"/>
      <c r="F140" s="784"/>
      <c r="G140" s="544"/>
      <c r="H140" s="669"/>
      <c r="I140" s="693" t="s">
        <v>382</v>
      </c>
      <c r="J140" s="670"/>
      <c r="K140" s="671"/>
      <c r="L140" s="671"/>
      <c r="M140" s="671"/>
      <c r="N140" s="671"/>
      <c r="O140" s="671"/>
      <c r="P140" s="672"/>
      <c r="Q140" s="673"/>
      <c r="R140" s="673"/>
      <c r="S140" s="673"/>
      <c r="T140" s="702"/>
      <c r="U140" s="702"/>
      <c r="V140" s="703"/>
      <c r="W140" s="166"/>
      <c r="X140" s="790"/>
      <c r="Y140" s="1188"/>
      <c r="Z140" s="1189"/>
      <c r="AA140" s="1189"/>
      <c r="AB140" s="1189"/>
      <c r="AC140" s="1189"/>
      <c r="AD140" s="1189"/>
      <c r="AE140" s="1189"/>
      <c r="AF140" s="1189"/>
      <c r="AG140" s="713"/>
      <c r="AH140" s="390"/>
      <c r="AI140" s="390"/>
      <c r="AJ140" s="1251"/>
      <c r="AK140" s="1251"/>
      <c r="AL140" s="1252"/>
      <c r="AM140" s="795"/>
      <c r="AN140" s="544"/>
      <c r="AO140" s="544"/>
      <c r="AP140" s="544"/>
      <c r="AQ140" s="544"/>
      <c r="AR140" s="544"/>
      <c r="AS140" s="544"/>
      <c r="AT140" s="544"/>
      <c r="AU140" s="544"/>
      <c r="AV140" s="544"/>
      <c r="AW140" s="544"/>
      <c r="AX140" s="544"/>
      <c r="AY140" s="544"/>
      <c r="AZ140" s="544"/>
      <c r="BA140" s="544"/>
      <c r="BB140" s="544"/>
      <c r="BC140" s="544"/>
      <c r="BD140" s="544"/>
    </row>
    <row r="141" spans="1:56" s="7" customFormat="1" ht="2.25" customHeight="1">
      <c r="A141" s="496"/>
      <c r="B141" s="496"/>
      <c r="C141" s="496"/>
      <c r="D141" s="496"/>
      <c r="E141" s="784"/>
      <c r="F141" s="784"/>
      <c r="G141" s="544"/>
      <c r="H141" s="411"/>
      <c r="I141" s="1247">
        <f>IF(ZRB!G13&lt;3,"&gt; Strom-Eigenverbrauchsbonus ( 0 - "&amp;ZRB!Z7*100&amp;"% )","")</f>
      </c>
      <c r="J141" s="1247"/>
      <c r="K141" s="1247"/>
      <c r="L141" s="1247"/>
      <c r="M141" s="1247"/>
      <c r="N141" s="1247"/>
      <c r="O141" s="1247"/>
      <c r="P141" s="1247"/>
      <c r="Q141" s="1247"/>
      <c r="R141" s="255"/>
      <c r="S141" s="255"/>
      <c r="T141" s="253"/>
      <c r="U141" s="253"/>
      <c r="V141" s="690"/>
      <c r="W141" s="166"/>
      <c r="X141" s="790"/>
      <c r="Y141" s="1188" t="str">
        <f>"&gt; Strombezugspreis  in "&amp;ROUND(ZRB!G89,0)&amp;" Jahren"</f>
        <v>&gt; Strombezugspreis  in 20 Jahren</v>
      </c>
      <c r="Z141" s="1189"/>
      <c r="AA141" s="1189"/>
      <c r="AB141" s="1189"/>
      <c r="AC141" s="1189"/>
      <c r="AD141" s="1189"/>
      <c r="AE141" s="1189"/>
      <c r="AF141" s="1192" t="str">
        <f>"(Inflationsrate: "&amp;ROUND(ZRB!G99*100,1)&amp;"%)"</f>
        <v>(Inflationsrate: 1%)</v>
      </c>
      <c r="AG141" s="1192"/>
      <c r="AH141" s="1192"/>
      <c r="AI141" s="1192"/>
      <c r="AJ141" s="1251">
        <f>ZRB!G100</f>
        <v>0.25370287959314164</v>
      </c>
      <c r="AK141" s="1251"/>
      <c r="AL141" s="1252"/>
      <c r="AM141" s="795"/>
      <c r="AN141" s="544"/>
      <c r="AO141" s="544"/>
      <c r="AP141" s="544"/>
      <c r="AQ141" s="544"/>
      <c r="AR141" s="544"/>
      <c r="AS141" s="544"/>
      <c r="AT141" s="544"/>
      <c r="AU141" s="544"/>
      <c r="AV141" s="544"/>
      <c r="AW141" s="544"/>
      <c r="AX141" s="544"/>
      <c r="AY141" s="544"/>
      <c r="AZ141" s="544"/>
      <c r="BA141" s="544"/>
      <c r="BB141" s="544"/>
      <c r="BC141" s="544"/>
      <c r="BD141" s="544"/>
    </row>
    <row r="142" spans="1:56" ht="11.25" customHeight="1">
      <c r="A142" s="496"/>
      <c r="B142" s="496"/>
      <c r="C142" s="496"/>
      <c r="D142" s="496"/>
      <c r="E142" s="784"/>
      <c r="F142" s="784"/>
      <c r="G142" s="544"/>
      <c r="H142" s="411"/>
      <c r="I142" s="1247"/>
      <c r="J142" s="1247"/>
      <c r="K142" s="1247"/>
      <c r="L142" s="1247"/>
      <c r="M142" s="1247"/>
      <c r="N142" s="1247"/>
      <c r="O142" s="1247"/>
      <c r="P142" s="1247"/>
      <c r="Q142" s="1247"/>
      <c r="R142" s="1294">
        <f>IF(AND(ZRB!G96&lt;3,ZRB!G89&gt;ZRB!G90),"Verrechnungsanteil","")</f>
      </c>
      <c r="S142" s="1294">
        <f>IF(Kalkulation_Eigenstrom!$AN$49&lt;3,IF(ZRB!G89&gt;ZRB!G90,""&amp;ROUND(ZRB!G91*100,1)&amp;"%",""),"")</f>
      </c>
      <c r="T142" s="1270">
        <f>IF(ZRB!AG12=0,"",ZRB!AG12)</f>
      </c>
      <c r="U142" s="1270"/>
      <c r="V142" s="1271"/>
      <c r="W142" s="166"/>
      <c r="X142" s="790"/>
      <c r="Y142" s="1190"/>
      <c r="Z142" s="1191"/>
      <c r="AA142" s="1191"/>
      <c r="AB142" s="1191"/>
      <c r="AC142" s="1191"/>
      <c r="AD142" s="1191"/>
      <c r="AE142" s="1191"/>
      <c r="AF142" s="1193"/>
      <c r="AG142" s="1193"/>
      <c r="AH142" s="1193"/>
      <c r="AI142" s="1193"/>
      <c r="AJ142" s="1253"/>
      <c r="AK142" s="1253"/>
      <c r="AL142" s="1254"/>
      <c r="AM142" s="795"/>
      <c r="AN142" s="544"/>
      <c r="AO142" s="544"/>
      <c r="AP142" s="544"/>
      <c r="AQ142" s="544"/>
      <c r="AR142" s="544"/>
      <c r="AS142" s="544"/>
      <c r="AT142" s="544"/>
      <c r="AU142" s="544"/>
      <c r="AV142" s="544"/>
      <c r="AW142" s="544"/>
      <c r="AX142" s="544"/>
      <c r="AY142" s="544"/>
      <c r="AZ142" s="544"/>
      <c r="BA142" s="544"/>
      <c r="BB142" s="544"/>
      <c r="BC142" s="544"/>
      <c r="BD142" s="544"/>
    </row>
    <row r="143" spans="1:56" s="7" customFormat="1" ht="2.25" customHeight="1">
      <c r="A143" s="496"/>
      <c r="B143" s="496"/>
      <c r="C143" s="496"/>
      <c r="D143" s="496"/>
      <c r="E143" s="784"/>
      <c r="F143" s="784"/>
      <c r="G143" s="544"/>
      <c r="H143" s="411"/>
      <c r="I143" s="255"/>
      <c r="J143" s="255"/>
      <c r="K143" s="255"/>
      <c r="L143" s="255"/>
      <c r="M143" s="255"/>
      <c r="N143" s="255"/>
      <c r="O143" s="255"/>
      <c r="P143" s="255"/>
      <c r="Q143" s="255"/>
      <c r="R143" s="1294"/>
      <c r="S143" s="1294"/>
      <c r="T143" s="253"/>
      <c r="U143" s="253"/>
      <c r="V143" s="690"/>
      <c r="W143" s="166"/>
      <c r="X143" s="790"/>
      <c r="Y143" s="1208" t="str">
        <f>"   Strombezugspreis im  ø der "&amp;ZRB!G89&amp;" Laufzeit:"</f>
        <v>   Strombezugspreis im  ø der 20 Laufzeit:</v>
      </c>
      <c r="Z143" s="1209"/>
      <c r="AA143" s="1209"/>
      <c r="AB143" s="1209"/>
      <c r="AC143" s="1209"/>
      <c r="AD143" s="1209"/>
      <c r="AE143" s="1209"/>
      <c r="AF143" s="1209"/>
      <c r="AG143" s="1209"/>
      <c r="AH143" s="390"/>
      <c r="AI143" s="390"/>
      <c r="AJ143" s="1196">
        <f>ZRB!G101</f>
        <v>0.2318514397965708</v>
      </c>
      <c r="AK143" s="1196"/>
      <c r="AL143" s="1197"/>
      <c r="AM143" s="796"/>
      <c r="AN143" s="544"/>
      <c r="AO143" s="544"/>
      <c r="AP143" s="544"/>
      <c r="AQ143" s="544"/>
      <c r="AR143" s="544"/>
      <c r="AS143" s="544"/>
      <c r="AT143" s="544"/>
      <c r="AU143" s="544"/>
      <c r="AV143" s="544"/>
      <c r="AW143" s="544"/>
      <c r="AX143" s="544"/>
      <c r="AY143" s="544"/>
      <c r="AZ143" s="544"/>
      <c r="BA143" s="544"/>
      <c r="BB143" s="544"/>
      <c r="BC143" s="544"/>
      <c r="BD143" s="544"/>
    </row>
    <row r="144" spans="1:56" ht="11.25" customHeight="1">
      <c r="A144" s="496"/>
      <c r="B144" s="496"/>
      <c r="C144" s="496"/>
      <c r="D144" s="496"/>
      <c r="E144" s="784"/>
      <c r="F144" s="784"/>
      <c r="G144" s="544"/>
      <c r="H144" s="411"/>
      <c r="I144" s="1269">
        <f>Kalkulation_Eigenstrom!BG61</f>
      </c>
      <c r="J144" s="1269"/>
      <c r="K144" s="1272">
        <f>Kalkulation_Eigenstrom!BI61</f>
      </c>
      <c r="L144" s="1272"/>
      <c r="M144" s="1273">
        <f>Kalkulation_Eigenstrom!BK61</f>
      </c>
      <c r="N144" s="1273"/>
      <c r="O144" s="1265">
        <f>Kalkulation_Eigenstrom!BM61</f>
      </c>
      <c r="P144" s="1265"/>
      <c r="Q144" s="1265"/>
      <c r="R144" s="1294"/>
      <c r="S144" s="1294"/>
      <c r="T144" s="1261"/>
      <c r="U144" s="1261"/>
      <c r="V144" s="1262"/>
      <c r="W144" s="166"/>
      <c r="X144" s="790"/>
      <c r="Y144" s="1210"/>
      <c r="Z144" s="1005"/>
      <c r="AA144" s="1005"/>
      <c r="AB144" s="1005"/>
      <c r="AC144" s="1005"/>
      <c r="AD144" s="1005"/>
      <c r="AE144" s="1005"/>
      <c r="AF144" s="1005"/>
      <c r="AG144" s="1005"/>
      <c r="AH144" s="390"/>
      <c r="AI144" s="390"/>
      <c r="AJ144" s="1198"/>
      <c r="AK144" s="1198"/>
      <c r="AL144" s="1199"/>
      <c r="AM144" s="796"/>
      <c r="AN144" s="544"/>
      <c r="AO144" s="544"/>
      <c r="AP144" s="544"/>
      <c r="AQ144" s="544"/>
      <c r="AR144" s="544"/>
      <c r="AS144" s="544"/>
      <c r="AT144" s="544"/>
      <c r="AU144" s="544"/>
      <c r="AV144" s="544"/>
      <c r="AW144" s="544"/>
      <c r="AX144" s="544"/>
      <c r="AY144" s="544"/>
      <c r="AZ144" s="544"/>
      <c r="BA144" s="544"/>
      <c r="BB144" s="544"/>
      <c r="BC144" s="544"/>
      <c r="BD144" s="544"/>
    </row>
    <row r="145" spans="1:56" s="7" customFormat="1" ht="2.25" customHeight="1">
      <c r="A145" s="496"/>
      <c r="B145" s="496"/>
      <c r="C145" s="496"/>
      <c r="D145" s="496"/>
      <c r="E145" s="784"/>
      <c r="F145" s="784"/>
      <c r="G145" s="544"/>
      <c r="H145" s="411"/>
      <c r="I145" s="698"/>
      <c r="J145" s="698"/>
      <c r="K145" s="698"/>
      <c r="L145" s="698"/>
      <c r="M145" s="698"/>
      <c r="N145" s="698"/>
      <c r="O145" s="698"/>
      <c r="P145" s="698"/>
      <c r="Q145" s="698"/>
      <c r="R145" s="1294"/>
      <c r="S145" s="1294"/>
      <c r="T145" s="253"/>
      <c r="U145" s="253"/>
      <c r="V145" s="690"/>
      <c r="W145" s="166"/>
      <c r="X145" s="790"/>
      <c r="Y145" s="1210"/>
      <c r="Z145" s="1005"/>
      <c r="AA145" s="1005"/>
      <c r="AB145" s="1005"/>
      <c r="AC145" s="1005"/>
      <c r="AD145" s="1005"/>
      <c r="AE145" s="1005"/>
      <c r="AF145" s="1005"/>
      <c r="AG145" s="1005"/>
      <c r="AH145" s="390"/>
      <c r="AI145" s="390"/>
      <c r="AJ145" s="1198"/>
      <c r="AK145" s="1198"/>
      <c r="AL145" s="1199"/>
      <c r="AM145" s="796"/>
      <c r="AN145" s="544"/>
      <c r="AO145" s="544"/>
      <c r="AP145" s="544"/>
      <c r="AQ145" s="544"/>
      <c r="AR145" s="544"/>
      <c r="AS145" s="544"/>
      <c r="AT145" s="544"/>
      <c r="AU145" s="544"/>
      <c r="AV145" s="544"/>
      <c r="AW145" s="544"/>
      <c r="AX145" s="544"/>
      <c r="AY145" s="544"/>
      <c r="AZ145" s="544"/>
      <c r="BA145" s="544"/>
      <c r="BB145" s="544"/>
      <c r="BC145" s="544"/>
      <c r="BD145" s="544"/>
    </row>
    <row r="146" spans="1:56" ht="11.25" customHeight="1">
      <c r="A146" s="496"/>
      <c r="B146" s="496"/>
      <c r="C146" s="496"/>
      <c r="D146" s="496"/>
      <c r="E146" s="784"/>
      <c r="F146" s="784"/>
      <c r="G146" s="544"/>
      <c r="H146" s="411"/>
      <c r="I146" s="1269">
        <f>Kalkulation_Eigenstrom!BG63</f>
      </c>
      <c r="J146" s="1269"/>
      <c r="K146" s="1272">
        <f>Kalkulation_Eigenstrom!BI63</f>
      </c>
      <c r="L146" s="1272"/>
      <c r="M146" s="1273">
        <f>Kalkulation_Eigenstrom!BK63</f>
      </c>
      <c r="N146" s="1273"/>
      <c r="O146" s="1265">
        <f>Kalkulation_Eigenstrom!BM63</f>
      </c>
      <c r="P146" s="1265"/>
      <c r="Q146" s="1265"/>
      <c r="R146" s="1294"/>
      <c r="S146" s="1294"/>
      <c r="T146" s="1261"/>
      <c r="U146" s="1261"/>
      <c r="V146" s="1262"/>
      <c r="W146" s="166"/>
      <c r="X146" s="790"/>
      <c r="Y146" s="1210"/>
      <c r="Z146" s="1005"/>
      <c r="AA146" s="1005"/>
      <c r="AB146" s="1005"/>
      <c r="AC146" s="1005"/>
      <c r="AD146" s="1005"/>
      <c r="AE146" s="1005"/>
      <c r="AF146" s="1005"/>
      <c r="AG146" s="1005"/>
      <c r="AH146" s="390"/>
      <c r="AI146" s="390"/>
      <c r="AJ146" s="1198"/>
      <c r="AK146" s="1198"/>
      <c r="AL146" s="1199"/>
      <c r="AM146" s="796"/>
      <c r="AN146" s="544"/>
      <c r="AO146" s="544"/>
      <c r="AP146" s="544"/>
      <c r="AQ146" s="544"/>
      <c r="AR146" s="544"/>
      <c r="AS146" s="544"/>
      <c r="AT146" s="544"/>
      <c r="AU146" s="544"/>
      <c r="AV146" s="544"/>
      <c r="AW146" s="544"/>
      <c r="AX146" s="544"/>
      <c r="AY146" s="544"/>
      <c r="AZ146" s="544"/>
      <c r="BA146" s="544"/>
      <c r="BB146" s="544"/>
      <c r="BC146" s="544"/>
      <c r="BD146" s="544"/>
    </row>
    <row r="147" spans="1:56" s="7" customFormat="1" ht="2.25" customHeight="1">
      <c r="A147" s="496"/>
      <c r="B147" s="496"/>
      <c r="C147" s="496"/>
      <c r="D147" s="496"/>
      <c r="E147" s="784"/>
      <c r="F147" s="784"/>
      <c r="G147" s="544"/>
      <c r="H147" s="411"/>
      <c r="I147" s="698"/>
      <c r="J147" s="698"/>
      <c r="K147" s="698"/>
      <c r="L147" s="698"/>
      <c r="M147" s="698"/>
      <c r="N147" s="698"/>
      <c r="O147" s="698"/>
      <c r="P147" s="698"/>
      <c r="Q147" s="698"/>
      <c r="R147" s="1294"/>
      <c r="S147" s="1294"/>
      <c r="T147" s="253"/>
      <c r="U147" s="253"/>
      <c r="V147" s="690"/>
      <c r="W147" s="166"/>
      <c r="X147" s="790"/>
      <c r="Y147" s="811"/>
      <c r="Z147" s="812"/>
      <c r="AA147" s="812"/>
      <c r="AB147" s="812"/>
      <c r="AC147" s="812"/>
      <c r="AD147" s="812"/>
      <c r="AE147" s="812"/>
      <c r="AF147" s="812"/>
      <c r="AG147" s="812"/>
      <c r="AH147" s="812"/>
      <c r="AI147" s="812"/>
      <c r="AJ147" s="1200"/>
      <c r="AK147" s="1200"/>
      <c r="AL147" s="1201"/>
      <c r="AM147" s="453"/>
      <c r="AN147" s="544"/>
      <c r="AO147" s="544"/>
      <c r="AP147" s="544"/>
      <c r="AQ147" s="544"/>
      <c r="AR147" s="544"/>
      <c r="AS147" s="544"/>
      <c r="AT147" s="544"/>
      <c r="AU147" s="544"/>
      <c r="AV147" s="544"/>
      <c r="AW147" s="544"/>
      <c r="AX147" s="544"/>
      <c r="AY147" s="544"/>
      <c r="AZ147" s="544"/>
      <c r="BA147" s="544"/>
      <c r="BB147" s="544"/>
      <c r="BC147" s="544"/>
      <c r="BD147" s="544"/>
    </row>
    <row r="148" spans="1:56" ht="11.25" customHeight="1">
      <c r="A148" s="496"/>
      <c r="B148" s="496"/>
      <c r="C148" s="496"/>
      <c r="D148" s="496"/>
      <c r="E148" s="784"/>
      <c r="F148" s="784"/>
      <c r="G148" s="544"/>
      <c r="H148" s="411"/>
      <c r="I148" s="1269">
        <f>Kalkulation_Eigenstrom!BG65</f>
      </c>
      <c r="J148" s="1269"/>
      <c r="K148" s="1272">
        <f>Kalkulation_Eigenstrom!BI65</f>
      </c>
      <c r="L148" s="1272"/>
      <c r="M148" s="1273">
        <f>Kalkulation_Eigenstrom!BK65</f>
      </c>
      <c r="N148" s="1273"/>
      <c r="O148" s="1265">
        <f>Kalkulation_Eigenstrom!BM65</f>
      </c>
      <c r="P148" s="1265"/>
      <c r="Q148" s="1265"/>
      <c r="R148" s="1294"/>
      <c r="S148" s="1294"/>
      <c r="T148" s="1261"/>
      <c r="U148" s="1261"/>
      <c r="V148" s="1262"/>
      <c r="W148" s="166"/>
      <c r="X148" s="592"/>
      <c r="Y148" s="794"/>
      <c r="Z148" s="794"/>
      <c r="AA148" s="794"/>
      <c r="AB148" s="794"/>
      <c r="AC148" s="794"/>
      <c r="AD148" s="794"/>
      <c r="AE148" s="794"/>
      <c r="AF148" s="794"/>
      <c r="AG148" s="794"/>
      <c r="AH148" s="794"/>
      <c r="AI148" s="794"/>
      <c r="AJ148" s="794"/>
      <c r="AK148" s="794"/>
      <c r="AL148" s="794"/>
      <c r="AM148" s="593"/>
      <c r="AN148" s="544"/>
      <c r="AO148" s="544"/>
      <c r="AP148" s="544"/>
      <c r="AQ148" s="544"/>
      <c r="AR148" s="544"/>
      <c r="AS148" s="544"/>
      <c r="AT148" s="544"/>
      <c r="AU148" s="544"/>
      <c r="AV148" s="544"/>
      <c r="AW148" s="544"/>
      <c r="AX148" s="544"/>
      <c r="AY148" s="544"/>
      <c r="AZ148" s="544"/>
      <c r="BA148" s="544"/>
      <c r="BB148" s="544"/>
      <c r="BC148" s="544"/>
      <c r="BD148" s="544"/>
    </row>
    <row r="149" spans="1:56" s="7" customFormat="1" ht="2.25" customHeight="1">
      <c r="A149" s="496"/>
      <c r="B149" s="496"/>
      <c r="C149" s="496"/>
      <c r="D149" s="496"/>
      <c r="E149" s="784"/>
      <c r="F149" s="784"/>
      <c r="G149" s="544"/>
      <c r="H149" s="411"/>
      <c r="I149" s="1247">
        <f>IF(AND(ZRB!G13&lt;3,$O$152&gt;0),"&gt; Strom-Eigenverbrauchsbonus ( "&amp;ROUND(ZRB!Z7*100,0)&amp;"-"&amp;ROUND(ZRB!I31*100,0)&amp;"% )","")</f>
      </c>
      <c r="J149" s="1247"/>
      <c r="K149" s="1247"/>
      <c r="L149" s="1247"/>
      <c r="M149" s="1247"/>
      <c r="N149" s="1247"/>
      <c r="O149" s="1247"/>
      <c r="P149" s="1247"/>
      <c r="Q149" s="1247"/>
      <c r="R149" s="1294"/>
      <c r="S149" s="1294"/>
      <c r="T149" s="253"/>
      <c r="U149" s="253"/>
      <c r="V149" s="690"/>
      <c r="W149" s="166"/>
      <c r="X149" s="592"/>
      <c r="Y149" s="813"/>
      <c r="Z149" s="814"/>
      <c r="AA149" s="814"/>
      <c r="AB149" s="814"/>
      <c r="AC149" s="814"/>
      <c r="AD149" s="814"/>
      <c r="AE149" s="814"/>
      <c r="AF149" s="814"/>
      <c r="AG149" s="814"/>
      <c r="AH149" s="814"/>
      <c r="AI149" s="814"/>
      <c r="AJ149" s="814"/>
      <c r="AK149" s="814"/>
      <c r="AL149" s="815"/>
      <c r="AM149" s="593"/>
      <c r="AN149" s="544"/>
      <c r="AO149" s="544"/>
      <c r="AP149" s="544"/>
      <c r="AQ149" s="544"/>
      <c r="AR149" s="544"/>
      <c r="AS149" s="544"/>
      <c r="AT149" s="544"/>
      <c r="AU149" s="544"/>
      <c r="AV149" s="544"/>
      <c r="AW149" s="544"/>
      <c r="AX149" s="544"/>
      <c r="AY149" s="544"/>
      <c r="AZ149" s="544"/>
      <c r="BA149" s="544"/>
      <c r="BB149" s="544"/>
      <c r="BC149" s="544"/>
      <c r="BD149" s="544"/>
    </row>
    <row r="150" spans="1:56" ht="11.25" customHeight="1">
      <c r="A150" s="496"/>
      <c r="B150" s="496"/>
      <c r="C150" s="496"/>
      <c r="D150" s="496"/>
      <c r="E150" s="784"/>
      <c r="F150" s="784"/>
      <c r="G150" s="544"/>
      <c r="H150" s="411"/>
      <c r="I150" s="1247"/>
      <c r="J150" s="1247"/>
      <c r="K150" s="1247"/>
      <c r="L150" s="1247"/>
      <c r="M150" s="1247"/>
      <c r="N150" s="1247"/>
      <c r="O150" s="1247"/>
      <c r="P150" s="1247"/>
      <c r="Q150" s="1247"/>
      <c r="R150" s="1294"/>
      <c r="S150" s="1294"/>
      <c r="T150" s="1270">
        <f>IF(ZRB!AH12=0,"",ZRB!AH12)</f>
      </c>
      <c r="U150" s="1270"/>
      <c r="V150" s="1271"/>
      <c r="W150" s="166"/>
      <c r="X150" s="592"/>
      <c r="Y150" s="1202">
        <f>IF(ZRB!G33=1,"",IF(ZRB!G5=1,"","Bei der geplanten "&amp;ZRB!G10&amp;" ("&amp;ROUND(ZRB!G6,2)&amp;" kWp) mit einem spez. Ertrag von "&amp;ZRB!G18&amp;" kWh/kWp,"))</f>
      </c>
      <c r="Z150" s="1009"/>
      <c r="AA150" s="1009"/>
      <c r="AB150" s="1009"/>
      <c r="AC150" s="1009"/>
      <c r="AD150" s="1009"/>
      <c r="AE150" s="1009"/>
      <c r="AF150" s="1009"/>
      <c r="AG150" s="1009"/>
      <c r="AH150" s="1009"/>
      <c r="AI150" s="1009"/>
      <c r="AJ150" s="1009"/>
      <c r="AK150" s="1009"/>
      <c r="AL150" s="1203"/>
      <c r="AM150" s="593"/>
      <c r="AN150" s="544"/>
      <c r="AO150" s="544"/>
      <c r="AP150" s="544"/>
      <c r="AQ150" s="544"/>
      <c r="AR150" s="544"/>
      <c r="AS150" s="544"/>
      <c r="AT150" s="544"/>
      <c r="AU150" s="544"/>
      <c r="AV150" s="544"/>
      <c r="AW150" s="544"/>
      <c r="AX150" s="544"/>
      <c r="AY150" s="544"/>
      <c r="AZ150" s="544"/>
      <c r="BA150" s="544"/>
      <c r="BB150" s="544"/>
      <c r="BC150" s="544"/>
      <c r="BD150" s="544"/>
    </row>
    <row r="151" spans="1:56" ht="2.25" customHeight="1">
      <c r="A151" s="496"/>
      <c r="B151" s="496"/>
      <c r="C151" s="496"/>
      <c r="D151" s="496"/>
      <c r="E151" s="784"/>
      <c r="F151" s="784"/>
      <c r="G151" s="544"/>
      <c r="H151" s="411"/>
      <c r="I151" s="255"/>
      <c r="J151" s="255"/>
      <c r="K151" s="255"/>
      <c r="L151" s="255"/>
      <c r="M151" s="255"/>
      <c r="N151" s="255"/>
      <c r="O151" s="255"/>
      <c r="P151" s="255"/>
      <c r="Q151" s="255"/>
      <c r="R151" s="1294"/>
      <c r="S151" s="1294"/>
      <c r="T151" s="253"/>
      <c r="U151" s="253"/>
      <c r="V151" s="690"/>
      <c r="W151" s="166"/>
      <c r="X151" s="592"/>
      <c r="Y151" s="1202"/>
      <c r="Z151" s="1009"/>
      <c r="AA151" s="1009"/>
      <c r="AB151" s="1009"/>
      <c r="AC151" s="1009"/>
      <c r="AD151" s="1009"/>
      <c r="AE151" s="1009"/>
      <c r="AF151" s="1009"/>
      <c r="AG151" s="1009"/>
      <c r="AH151" s="1009"/>
      <c r="AI151" s="1009"/>
      <c r="AJ151" s="1009"/>
      <c r="AK151" s="1009"/>
      <c r="AL151" s="1203"/>
      <c r="AM151" s="593"/>
      <c r="AN151" s="544"/>
      <c r="AO151" s="544"/>
      <c r="AP151" s="544"/>
      <c r="AQ151" s="544"/>
      <c r="AR151" s="544"/>
      <c r="AS151" s="544"/>
      <c r="AT151" s="544"/>
      <c r="AU151" s="544"/>
      <c r="AV151" s="544"/>
      <c r="AW151" s="544"/>
      <c r="AX151" s="544"/>
      <c r="AY151" s="544"/>
      <c r="AZ151" s="544"/>
      <c r="BA151" s="544"/>
      <c r="BB151" s="544"/>
      <c r="BC151" s="544"/>
      <c r="BD151" s="544"/>
    </row>
    <row r="152" spans="1:56" ht="11.25" customHeight="1">
      <c r="A152" s="496"/>
      <c r="B152" s="496"/>
      <c r="C152" s="496"/>
      <c r="D152" s="496"/>
      <c r="E152" s="784"/>
      <c r="F152" s="784"/>
      <c r="G152" s="544"/>
      <c r="H152" s="411"/>
      <c r="I152" s="1269">
        <f>Kalkulation_Eigenstrom!BG67</f>
      </c>
      <c r="J152" s="1269"/>
      <c r="K152" s="1272">
        <f>Kalkulation_Eigenstrom!BI67</f>
      </c>
      <c r="L152" s="1272"/>
      <c r="M152" s="1273">
        <f>Kalkulation_Eigenstrom!BK67</f>
      </c>
      <c r="N152" s="1273"/>
      <c r="O152" s="1265">
        <f>Kalkulation_Eigenstrom!BM67</f>
      </c>
      <c r="P152" s="1265"/>
      <c r="Q152" s="1265"/>
      <c r="R152" s="1294"/>
      <c r="S152" s="1294"/>
      <c r="T152" s="1261"/>
      <c r="U152" s="1261"/>
      <c r="V152" s="1262"/>
      <c r="W152" s="166"/>
      <c r="X152" s="592"/>
      <c r="Y152" s="1202">
        <f>IF(ZRB!G33=1,"",IF(ZRB!G5=1,"","Herstellungskosten von "&amp;ZRB!G57&amp;" €, einer Laufzeit der Anlage von "&amp;ZRB!G21&amp;" Jahren, einer unter-"))</f>
      </c>
      <c r="Z152" s="1009"/>
      <c r="AA152" s="1009"/>
      <c r="AB152" s="1009"/>
      <c r="AC152" s="1009"/>
      <c r="AD152" s="1009"/>
      <c r="AE152" s="1009"/>
      <c r="AF152" s="1009"/>
      <c r="AG152" s="1009"/>
      <c r="AH152" s="1009"/>
      <c r="AI152" s="1009"/>
      <c r="AJ152" s="1009"/>
      <c r="AK152" s="1009"/>
      <c r="AL152" s="1203"/>
      <c r="AM152" s="593"/>
      <c r="AN152" s="544"/>
      <c r="AO152" s="544"/>
      <c r="AP152" s="544"/>
      <c r="AQ152" s="544"/>
      <c r="AR152" s="544"/>
      <c r="AS152" s="544"/>
      <c r="AT152" s="544"/>
      <c r="AU152" s="544"/>
      <c r="AV152" s="544"/>
      <c r="AW152" s="544"/>
      <c r="AX152" s="544"/>
      <c r="AY152" s="544"/>
      <c r="AZ152" s="544"/>
      <c r="BA152" s="544"/>
      <c r="BB152" s="544"/>
      <c r="BC152" s="544"/>
      <c r="BD152" s="544"/>
    </row>
    <row r="153" spans="1:56" s="7" customFormat="1" ht="2.25" customHeight="1">
      <c r="A153" s="496"/>
      <c r="B153" s="496"/>
      <c r="C153" s="496"/>
      <c r="D153" s="496"/>
      <c r="E153" s="784"/>
      <c r="F153" s="784"/>
      <c r="G153" s="544"/>
      <c r="H153" s="411"/>
      <c r="I153" s="695"/>
      <c r="J153" s="695"/>
      <c r="K153" s="694"/>
      <c r="L153" s="694"/>
      <c r="M153" s="696"/>
      <c r="N153" s="696"/>
      <c r="O153" s="697"/>
      <c r="P153" s="697"/>
      <c r="Q153" s="697"/>
      <c r="R153" s="1294"/>
      <c r="S153" s="1294"/>
      <c r="T153" s="688"/>
      <c r="U153" s="688"/>
      <c r="V153" s="689"/>
      <c r="W153" s="166"/>
      <c r="X153" s="592"/>
      <c r="Y153" s="1202"/>
      <c r="Z153" s="1009"/>
      <c r="AA153" s="1009"/>
      <c r="AB153" s="1009"/>
      <c r="AC153" s="1009"/>
      <c r="AD153" s="1009"/>
      <c r="AE153" s="1009"/>
      <c r="AF153" s="1009"/>
      <c r="AG153" s="1009"/>
      <c r="AH153" s="1009"/>
      <c r="AI153" s="1009"/>
      <c r="AJ153" s="1009"/>
      <c r="AK153" s="1009"/>
      <c r="AL153" s="1203"/>
      <c r="AM153" s="593"/>
      <c r="AN153" s="544"/>
      <c r="AO153" s="544"/>
      <c r="AP153" s="544"/>
      <c r="AQ153" s="544"/>
      <c r="AR153" s="544"/>
      <c r="AS153" s="544"/>
      <c r="AT153" s="544"/>
      <c r="AU153" s="544"/>
      <c r="AV153" s="544"/>
      <c r="AW153" s="544"/>
      <c r="AX153" s="544"/>
      <c r="AY153" s="544"/>
      <c r="AZ153" s="544"/>
      <c r="BA153" s="544"/>
      <c r="BB153" s="544"/>
      <c r="BC153" s="544"/>
      <c r="BD153" s="544"/>
    </row>
    <row r="154" spans="1:56" ht="11.25" customHeight="1">
      <c r="A154" s="496"/>
      <c r="B154" s="496"/>
      <c r="C154" s="496"/>
      <c r="D154" s="496"/>
      <c r="E154" s="784"/>
      <c r="F154" s="784"/>
      <c r="G154" s="544"/>
      <c r="H154" s="411"/>
      <c r="I154" s="1269">
        <f>Kalkulation_Eigenstrom!BG69</f>
      </c>
      <c r="J154" s="1269"/>
      <c r="K154" s="1272">
        <f>Kalkulation_Eigenstrom!BI69</f>
      </c>
      <c r="L154" s="1272"/>
      <c r="M154" s="1273">
        <f>Kalkulation_Eigenstrom!BK69</f>
      </c>
      <c r="N154" s="1273"/>
      <c r="O154" s="1265">
        <f>Kalkulation_Eigenstrom!BM69</f>
      </c>
      <c r="P154" s="1265"/>
      <c r="Q154" s="1265"/>
      <c r="R154" s="1294"/>
      <c r="S154" s="1294"/>
      <c r="T154" s="1261"/>
      <c r="U154" s="1261"/>
      <c r="V154" s="1262"/>
      <c r="W154" s="166"/>
      <c r="X154" s="592"/>
      <c r="Y154" s="1202">
        <f>IF(ZRB!G33=1,ZRB!B35,IF(ZRB!G5=1,"","stellten Verzinsung des Kapitals  von "&amp;ROUND(ZRB!F58,3)*100&amp;" %, Inbetriebnahme im "&amp;ZRB!G12&amp;", beläuft sich"))</f>
      </c>
      <c r="Z154" s="1009"/>
      <c r="AA154" s="1009"/>
      <c r="AB154" s="1009"/>
      <c r="AC154" s="1009"/>
      <c r="AD154" s="1009"/>
      <c r="AE154" s="1009"/>
      <c r="AF154" s="1009"/>
      <c r="AG154" s="1009"/>
      <c r="AH154" s="1009"/>
      <c r="AI154" s="1009"/>
      <c r="AJ154" s="1009"/>
      <c r="AK154" s="1009"/>
      <c r="AL154" s="1203"/>
      <c r="AM154" s="593"/>
      <c r="AN154" s="544"/>
      <c r="AO154" s="544"/>
      <c r="AP154" s="544"/>
      <c r="AQ154" s="544"/>
      <c r="AR154" s="544"/>
      <c r="AS154" s="544"/>
      <c r="AT154" s="544"/>
      <c r="AU154" s="544"/>
      <c r="AV154" s="544"/>
      <c r="AW154" s="544"/>
      <c r="AX154" s="544"/>
      <c r="AY154" s="544"/>
      <c r="AZ154" s="544"/>
      <c r="BA154" s="544"/>
      <c r="BB154" s="544"/>
      <c r="BC154" s="544"/>
      <c r="BD154" s="544"/>
    </row>
    <row r="155" spans="1:56" s="7" customFormat="1" ht="2.25" customHeight="1">
      <c r="A155" s="496"/>
      <c r="B155" s="496"/>
      <c r="C155" s="496"/>
      <c r="D155" s="496"/>
      <c r="E155" s="784"/>
      <c r="F155" s="784"/>
      <c r="G155" s="544"/>
      <c r="H155" s="411"/>
      <c r="I155" s="698"/>
      <c r="J155" s="698"/>
      <c r="K155" s="698"/>
      <c r="L155" s="698"/>
      <c r="M155" s="698"/>
      <c r="N155" s="698"/>
      <c r="O155" s="698"/>
      <c r="P155" s="698"/>
      <c r="Q155" s="698"/>
      <c r="R155" s="1294"/>
      <c r="S155" s="1294"/>
      <c r="T155" s="253"/>
      <c r="U155" s="253"/>
      <c r="V155" s="690"/>
      <c r="W155" s="166"/>
      <c r="X155" s="592"/>
      <c r="Y155" s="1202"/>
      <c r="Z155" s="1009"/>
      <c r="AA155" s="1009"/>
      <c r="AB155" s="1009"/>
      <c r="AC155" s="1009"/>
      <c r="AD155" s="1009"/>
      <c r="AE155" s="1009"/>
      <c r="AF155" s="1009"/>
      <c r="AG155" s="1009"/>
      <c r="AH155" s="1009"/>
      <c r="AI155" s="1009"/>
      <c r="AJ155" s="1009"/>
      <c r="AK155" s="1009"/>
      <c r="AL155" s="1203"/>
      <c r="AM155" s="593"/>
      <c r="AN155" s="544"/>
      <c r="AO155" s="544"/>
      <c r="AP155" s="544"/>
      <c r="AQ155" s="544"/>
      <c r="AR155" s="544"/>
      <c r="AS155" s="544"/>
      <c r="AT155" s="544"/>
      <c r="AU155" s="544"/>
      <c r="AV155" s="544"/>
      <c r="AW155" s="544"/>
      <c r="AX155" s="544"/>
      <c r="AY155" s="544"/>
      <c r="AZ155" s="544"/>
      <c r="BA155" s="544"/>
      <c r="BB155" s="544"/>
      <c r="BC155" s="544"/>
      <c r="BD155" s="544"/>
    </row>
    <row r="156" spans="1:56" ht="12" customHeight="1">
      <c r="A156" s="496"/>
      <c r="B156" s="496"/>
      <c r="C156" s="496"/>
      <c r="D156" s="496"/>
      <c r="E156" s="784"/>
      <c r="F156" s="784"/>
      <c r="G156" s="544"/>
      <c r="H156" s="411"/>
      <c r="I156" s="1269">
        <f>Kalkulation_Eigenstrom!BG71</f>
      </c>
      <c r="J156" s="1269"/>
      <c r="K156" s="1272">
        <f>Kalkulation_Eigenstrom!BI71</f>
      </c>
      <c r="L156" s="1272"/>
      <c r="M156" s="1273">
        <f>Kalkulation_Eigenstrom!BK71</f>
      </c>
      <c r="N156" s="1273"/>
      <c r="O156" s="1265">
        <f>Kalkulation_Eigenstrom!BM71</f>
      </c>
      <c r="P156" s="1265"/>
      <c r="Q156" s="1265"/>
      <c r="R156" s="1294"/>
      <c r="S156" s="1294"/>
      <c r="T156" s="1261"/>
      <c r="U156" s="1261"/>
      <c r="V156" s="1262"/>
      <c r="W156" s="166"/>
      <c r="X156" s="592"/>
      <c r="Y156" s="1202">
        <f>IF(ZRB!G33=1,"",IF(ZRB!G5=1,"",IF(ZRB!G103&gt;=0,"der Vorteil bei "&amp;ROUND(ZRB!F30,2)&amp;" % Eigenstromnutzung (ca. "&amp;ROUND(ZRB!G30,0)&amp;" kWh/Jahr) auf durchschnittlich","der Nachteil bei "&amp;ROUND(ZRB!F30,2)&amp;" % Eigenstromnutzung (ca. "&amp;ROUND(ZRB!G30,0)&amp;" kWh/Jahr) auf durchschnittlich")))</f>
      </c>
      <c r="Z156" s="1009"/>
      <c r="AA156" s="1009"/>
      <c r="AB156" s="1009"/>
      <c r="AC156" s="1009"/>
      <c r="AD156" s="1009"/>
      <c r="AE156" s="1009"/>
      <c r="AF156" s="1009"/>
      <c r="AG156" s="1009"/>
      <c r="AH156" s="1009"/>
      <c r="AI156" s="1009"/>
      <c r="AJ156" s="1009"/>
      <c r="AK156" s="1009"/>
      <c r="AL156" s="1203"/>
      <c r="AM156" s="593"/>
      <c r="AN156" s="544"/>
      <c r="AO156" s="544"/>
      <c r="AP156" s="544"/>
      <c r="AQ156" s="544"/>
      <c r="AR156" s="544"/>
      <c r="AS156" s="544"/>
      <c r="AT156" s="544"/>
      <c r="AU156" s="544"/>
      <c r="AV156" s="544"/>
      <c r="AW156" s="544"/>
      <c r="AX156" s="544"/>
      <c r="AY156" s="544"/>
      <c r="AZ156" s="544"/>
      <c r="BA156" s="544"/>
      <c r="BB156" s="544"/>
      <c r="BC156" s="544"/>
      <c r="BD156" s="544"/>
    </row>
    <row r="157" spans="1:56" ht="2.25" customHeight="1">
      <c r="A157" s="496"/>
      <c r="B157" s="496"/>
      <c r="C157" s="496"/>
      <c r="D157" s="496"/>
      <c r="E157" s="784"/>
      <c r="F157" s="784"/>
      <c r="G157" s="544"/>
      <c r="H157" s="411"/>
      <c r="I157" s="255"/>
      <c r="J157" s="255"/>
      <c r="K157" s="255"/>
      <c r="L157" s="255"/>
      <c r="M157" s="255"/>
      <c r="N157" s="255"/>
      <c r="O157" s="255"/>
      <c r="P157" s="255"/>
      <c r="Q157" s="255"/>
      <c r="R157" s="255"/>
      <c r="S157" s="255"/>
      <c r="T157" s="255"/>
      <c r="U157" s="255"/>
      <c r="V157" s="282"/>
      <c r="W157" s="166"/>
      <c r="X157" s="592"/>
      <c r="Y157" s="1202"/>
      <c r="Z157" s="1009"/>
      <c r="AA157" s="1009"/>
      <c r="AB157" s="1009"/>
      <c r="AC157" s="1009"/>
      <c r="AD157" s="1009"/>
      <c r="AE157" s="1009"/>
      <c r="AF157" s="1009"/>
      <c r="AG157" s="1009"/>
      <c r="AH157" s="1009"/>
      <c r="AI157" s="1009"/>
      <c r="AJ157" s="1009"/>
      <c r="AK157" s="1009"/>
      <c r="AL157" s="1203"/>
      <c r="AM157" s="593"/>
      <c r="AN157" s="544"/>
      <c r="AO157" s="544"/>
      <c r="AP157" s="544"/>
      <c r="AQ157" s="544"/>
      <c r="AR157" s="544"/>
      <c r="AS157" s="544"/>
      <c r="AT157" s="544"/>
      <c r="AU157" s="544"/>
      <c r="AV157" s="544"/>
      <c r="AW157" s="544"/>
      <c r="AX157" s="544"/>
      <c r="AY157" s="544"/>
      <c r="AZ157" s="544"/>
      <c r="BA157" s="544"/>
      <c r="BB157" s="544"/>
      <c r="BC157" s="544"/>
      <c r="BD157" s="544"/>
    </row>
    <row r="158" spans="1:56" ht="12" customHeight="1">
      <c r="A158" s="496"/>
      <c r="B158" s="496"/>
      <c r="C158" s="496"/>
      <c r="D158" s="496"/>
      <c r="E158" s="784"/>
      <c r="F158" s="784"/>
      <c r="G158" s="544"/>
      <c r="H158" s="411"/>
      <c r="I158" s="1298" t="str">
        <f>Kalkulation_Eigenstrom!BF73</f>
        <v>keine Anlage erfasst !!</v>
      </c>
      <c r="J158" s="1299"/>
      <c r="K158" s="1299"/>
      <c r="L158" s="1299"/>
      <c r="M158" s="1299"/>
      <c r="N158" s="1299"/>
      <c r="O158" s="1299"/>
      <c r="P158" s="1299"/>
      <c r="Q158" s="1299"/>
      <c r="R158" s="1299"/>
      <c r="S158" s="1299"/>
      <c r="T158" s="1299"/>
      <c r="U158" s="1300"/>
      <c r="V158" s="686"/>
      <c r="W158" s="166"/>
      <c r="X158" s="592"/>
      <c r="Y158" s="1205">
        <f>IF(ZRB!G33=1,"",IF(ZRB!G5=1,"",""&amp;ROUND(ZRB!G102,3)*100&amp;" Cent/kWh"))</f>
      </c>
      <c r="Z158" s="1048"/>
      <c r="AA158" s="1048"/>
      <c r="AB158" s="1048"/>
      <c r="AC158" s="1009">
        <f>IF(ZRB!G33=1,"",IF(ZRB!G5=1,"","("&amp;ROUND(ZRB!G101,4)&amp;" abzgl. "&amp;ROUND(ZRB!G113,4)&amp;" €/kWh)"))</f>
      </c>
      <c r="AD158" s="1009"/>
      <c r="AE158" s="1009"/>
      <c r="AF158" s="1009"/>
      <c r="AG158" s="1009"/>
      <c r="AH158" s="1206">
        <f>IF(ZRB!G33=1,"",IF(ZRB!G5=1,"","bzw. rd. "&amp;ROUNDDOWN(ZRB!G103,-1)&amp;" €/Jahr"))</f>
      </c>
      <c r="AI158" s="1206"/>
      <c r="AJ158" s="1206"/>
      <c r="AK158" s="1206"/>
      <c r="AL158" s="1207"/>
      <c r="AM158" s="593"/>
      <c r="AN158" s="544"/>
      <c r="AO158" s="544"/>
      <c r="AP158" s="544"/>
      <c r="AQ158" s="544"/>
      <c r="AR158" s="544"/>
      <c r="AS158" s="544"/>
      <c r="AT158" s="544"/>
      <c r="AU158" s="544"/>
      <c r="AV158" s="544"/>
      <c r="AW158" s="544"/>
      <c r="AX158" s="544"/>
      <c r="AY158" s="544"/>
      <c r="AZ158" s="544"/>
      <c r="BA158" s="544"/>
      <c r="BB158" s="544"/>
      <c r="BC158" s="544"/>
      <c r="BD158" s="544"/>
    </row>
    <row r="159" spans="1:56" ht="2.25" customHeight="1">
      <c r="A159" s="496"/>
      <c r="B159" s="496"/>
      <c r="C159" s="496"/>
      <c r="D159" s="496"/>
      <c r="E159" s="784"/>
      <c r="F159" s="784"/>
      <c r="G159" s="544"/>
      <c r="H159" s="411"/>
      <c r="I159" s="1301"/>
      <c r="J159" s="1302"/>
      <c r="K159" s="1302"/>
      <c r="L159" s="1302"/>
      <c r="M159" s="1302"/>
      <c r="N159" s="1302"/>
      <c r="O159" s="1302"/>
      <c r="P159" s="1302"/>
      <c r="Q159" s="1302"/>
      <c r="R159" s="1302"/>
      <c r="S159" s="1302"/>
      <c r="T159" s="1302"/>
      <c r="U159" s="1303"/>
      <c r="V159" s="686"/>
      <c r="W159" s="166"/>
      <c r="X159" s="592"/>
      <c r="Y159" s="1205"/>
      <c r="Z159" s="1048"/>
      <c r="AA159" s="1048"/>
      <c r="AB159" s="1048"/>
      <c r="AC159" s="1009"/>
      <c r="AD159" s="1009"/>
      <c r="AE159" s="1009"/>
      <c r="AF159" s="1009"/>
      <c r="AG159" s="1009"/>
      <c r="AH159" s="1206"/>
      <c r="AI159" s="1206"/>
      <c r="AJ159" s="1206"/>
      <c r="AK159" s="1206"/>
      <c r="AL159" s="1207"/>
      <c r="AM159" s="593"/>
      <c r="AN159" s="544"/>
      <c r="AO159" s="544"/>
      <c r="AP159" s="544"/>
      <c r="AQ159" s="544"/>
      <c r="AR159" s="544"/>
      <c r="AS159" s="544"/>
      <c r="AT159" s="544"/>
      <c r="AU159" s="544"/>
      <c r="AV159" s="544"/>
      <c r="AW159" s="544"/>
      <c r="AX159" s="544"/>
      <c r="AY159" s="544"/>
      <c r="AZ159" s="544"/>
      <c r="BA159" s="544"/>
      <c r="BB159" s="544"/>
      <c r="BC159" s="544"/>
      <c r="BD159" s="544"/>
    </row>
    <row r="160" spans="1:56" ht="12.75">
      <c r="A160" s="496"/>
      <c r="B160" s="496"/>
      <c r="C160" s="496"/>
      <c r="D160" s="496"/>
      <c r="E160" s="784"/>
      <c r="F160" s="784"/>
      <c r="G160" s="544"/>
      <c r="H160" s="411"/>
      <c r="I160" s="1301"/>
      <c r="J160" s="1302"/>
      <c r="K160" s="1302"/>
      <c r="L160" s="1302"/>
      <c r="M160" s="1302"/>
      <c r="N160" s="1302"/>
      <c r="O160" s="1302"/>
      <c r="P160" s="1302"/>
      <c r="Q160" s="1302"/>
      <c r="R160" s="1302"/>
      <c r="S160" s="1302"/>
      <c r="T160" s="1302"/>
      <c r="U160" s="1303"/>
      <c r="V160" s="686"/>
      <c r="W160" s="166"/>
      <c r="X160" s="592"/>
      <c r="Y160" s="1205"/>
      <c r="Z160" s="1048"/>
      <c r="AA160" s="1048"/>
      <c r="AB160" s="1048"/>
      <c r="AC160" s="1009"/>
      <c r="AD160" s="1009"/>
      <c r="AE160" s="1009"/>
      <c r="AF160" s="1009"/>
      <c r="AG160" s="1009"/>
      <c r="AH160" s="1206"/>
      <c r="AI160" s="1206"/>
      <c r="AJ160" s="1206"/>
      <c r="AK160" s="1206"/>
      <c r="AL160" s="1207"/>
      <c r="AM160" s="593"/>
      <c r="AN160" s="544"/>
      <c r="AO160" s="544"/>
      <c r="AP160" s="544"/>
      <c r="AQ160" s="544"/>
      <c r="AR160" s="544"/>
      <c r="AS160" s="544"/>
      <c r="AT160" s="544"/>
      <c r="AU160" s="544"/>
      <c r="AV160" s="544"/>
      <c r="AW160" s="544"/>
      <c r="AX160" s="544"/>
      <c r="AY160" s="544"/>
      <c r="AZ160" s="544"/>
      <c r="BA160" s="544"/>
      <c r="BB160" s="544"/>
      <c r="BC160" s="544"/>
      <c r="BD160" s="544"/>
    </row>
    <row r="161" spans="1:56" ht="2.25" customHeight="1">
      <c r="A161" s="496"/>
      <c r="B161" s="496"/>
      <c r="C161" s="496"/>
      <c r="D161" s="496"/>
      <c r="E161" s="784"/>
      <c r="F161" s="784"/>
      <c r="G161" s="544"/>
      <c r="H161" s="411"/>
      <c r="I161" s="1301"/>
      <c r="J161" s="1302"/>
      <c r="K161" s="1302"/>
      <c r="L161" s="1302"/>
      <c r="M161" s="1302"/>
      <c r="N161" s="1302"/>
      <c r="O161" s="1302"/>
      <c r="P161" s="1302"/>
      <c r="Q161" s="1302"/>
      <c r="R161" s="1302"/>
      <c r="S161" s="1302"/>
      <c r="T161" s="1302"/>
      <c r="U161" s="1303"/>
      <c r="V161" s="686"/>
      <c r="W161" s="166"/>
      <c r="X161" s="592"/>
      <c r="Y161" s="816"/>
      <c r="Z161" s="817"/>
      <c r="AA161" s="817"/>
      <c r="AB161" s="817"/>
      <c r="AC161" s="818"/>
      <c r="AD161" s="818"/>
      <c r="AE161" s="818"/>
      <c r="AF161" s="818"/>
      <c r="AG161" s="818"/>
      <c r="AH161" s="819"/>
      <c r="AI161" s="817"/>
      <c r="AJ161" s="817"/>
      <c r="AK161" s="817"/>
      <c r="AL161" s="820"/>
      <c r="AM161" s="593"/>
      <c r="AN161" s="544"/>
      <c r="AO161" s="544"/>
      <c r="AP161" s="544"/>
      <c r="AQ161" s="544"/>
      <c r="AR161" s="544"/>
      <c r="AS161" s="544"/>
      <c r="AT161" s="544"/>
      <c r="AU161" s="544"/>
      <c r="AV161" s="544"/>
      <c r="AW161" s="544"/>
      <c r="AX161" s="544"/>
      <c r="AY161" s="544"/>
      <c r="AZ161" s="544"/>
      <c r="BA161" s="544"/>
      <c r="BB161" s="544"/>
      <c r="BC161" s="544"/>
      <c r="BD161" s="544"/>
    </row>
    <row r="162" spans="1:56" ht="12.75">
      <c r="A162" s="496"/>
      <c r="B162" s="496"/>
      <c r="C162" s="496"/>
      <c r="D162" s="496"/>
      <c r="E162" s="784"/>
      <c r="F162" s="784"/>
      <c r="G162" s="544"/>
      <c r="H162" s="411"/>
      <c r="I162" s="1304"/>
      <c r="J162" s="1305"/>
      <c r="K162" s="1305"/>
      <c r="L162" s="1305"/>
      <c r="M162" s="1305"/>
      <c r="N162" s="1305"/>
      <c r="O162" s="1305"/>
      <c r="P162" s="1305"/>
      <c r="Q162" s="1305"/>
      <c r="R162" s="1305"/>
      <c r="S162" s="1305"/>
      <c r="T162" s="1305"/>
      <c r="U162" s="1306"/>
      <c r="V162" s="686"/>
      <c r="W162" s="166"/>
      <c r="X162" s="592"/>
      <c r="Y162" s="794"/>
      <c r="Z162" s="794"/>
      <c r="AA162" s="794"/>
      <c r="AB162" s="794"/>
      <c r="AC162" s="794"/>
      <c r="AD162" s="794"/>
      <c r="AE162" s="794"/>
      <c r="AF162" s="794"/>
      <c r="AG162" s="794"/>
      <c r="AH162" s="794"/>
      <c r="AI162" s="794"/>
      <c r="AJ162" s="794"/>
      <c r="AK162" s="794"/>
      <c r="AL162" s="794"/>
      <c r="AM162" s="593"/>
      <c r="AN162" s="544"/>
      <c r="AO162" s="544"/>
      <c r="AP162" s="544"/>
      <c r="AQ162" s="544"/>
      <c r="AR162" s="544"/>
      <c r="AS162" s="544"/>
      <c r="AT162" s="544"/>
      <c r="AU162" s="544"/>
      <c r="AV162" s="544"/>
      <c r="AW162" s="544"/>
      <c r="AX162" s="544"/>
      <c r="AY162" s="544"/>
      <c r="AZ162" s="544"/>
      <c r="BA162" s="544"/>
      <c r="BB162" s="544"/>
      <c r="BC162" s="544"/>
      <c r="BD162" s="544"/>
    </row>
    <row r="163" spans="1:56" ht="2.25" customHeight="1">
      <c r="A163" s="496"/>
      <c r="B163" s="496"/>
      <c r="C163" s="496"/>
      <c r="D163" s="496"/>
      <c r="E163" s="784"/>
      <c r="F163" s="784"/>
      <c r="G163" s="544"/>
      <c r="H163" s="714"/>
      <c r="I163" s="481"/>
      <c r="J163" s="481"/>
      <c r="K163" s="481"/>
      <c r="L163" s="481"/>
      <c r="M163" s="481"/>
      <c r="N163" s="481"/>
      <c r="O163" s="481"/>
      <c r="P163" s="481"/>
      <c r="Q163" s="481"/>
      <c r="R163" s="481"/>
      <c r="S163" s="481"/>
      <c r="T163" s="481"/>
      <c r="U163" s="481"/>
      <c r="V163" s="715"/>
      <c r="W163" s="166"/>
      <c r="X163" s="791"/>
      <c r="Y163" s="792"/>
      <c r="Z163" s="792"/>
      <c r="AA163" s="792"/>
      <c r="AB163" s="792"/>
      <c r="AC163" s="792"/>
      <c r="AD163" s="792"/>
      <c r="AE163" s="792"/>
      <c r="AF163" s="792"/>
      <c r="AG163" s="792"/>
      <c r="AH163" s="792"/>
      <c r="AI163" s="792"/>
      <c r="AJ163" s="792"/>
      <c r="AK163" s="792"/>
      <c r="AL163" s="792"/>
      <c r="AM163" s="793"/>
      <c r="AN163" s="544"/>
      <c r="AO163" s="544"/>
      <c r="AP163" s="544"/>
      <c r="AQ163" s="544"/>
      <c r="AR163" s="544"/>
      <c r="AS163" s="544"/>
      <c r="AT163" s="544"/>
      <c r="AU163" s="544"/>
      <c r="AV163" s="544"/>
      <c r="AW163" s="544"/>
      <c r="AX163" s="544"/>
      <c r="AY163" s="544"/>
      <c r="AZ163" s="544"/>
      <c r="BA163" s="544"/>
      <c r="BB163" s="544"/>
      <c r="BC163" s="544"/>
      <c r="BD163" s="544"/>
    </row>
    <row r="164" spans="1:56" ht="12.75">
      <c r="A164" s="544"/>
      <c r="B164" s="544"/>
      <c r="C164" s="544"/>
      <c r="D164" s="544"/>
      <c r="E164" s="784"/>
      <c r="F164" s="78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544"/>
      <c r="AY164" s="544"/>
      <c r="AZ164" s="544"/>
      <c r="BA164" s="544"/>
      <c r="BB164" s="544"/>
      <c r="BC164" s="544"/>
      <c r="BD164" s="544"/>
    </row>
    <row r="165" spans="1:56" ht="12.75">
      <c r="A165" s="544"/>
      <c r="B165" s="544"/>
      <c r="C165" s="544"/>
      <c r="D165" s="544"/>
      <c r="E165" s="784"/>
      <c r="F165" s="784"/>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4"/>
      <c r="AY165" s="544"/>
      <c r="AZ165" s="544"/>
      <c r="BA165" s="544"/>
      <c r="BB165" s="544"/>
      <c r="BC165" s="544"/>
      <c r="BD165" s="544"/>
    </row>
    <row r="166" spans="1:56" ht="12.75">
      <c r="A166" s="544"/>
      <c r="B166" s="544"/>
      <c r="C166" s="544"/>
      <c r="D166" s="544"/>
      <c r="E166" s="784"/>
      <c r="F166" s="784"/>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4"/>
      <c r="AL166" s="544"/>
      <c r="AM166" s="544"/>
      <c r="AN166" s="544"/>
      <c r="AO166" s="544"/>
      <c r="AP166" s="544"/>
      <c r="AQ166" s="544"/>
      <c r="AR166" s="544"/>
      <c r="AS166" s="544"/>
      <c r="AT166" s="544"/>
      <c r="AU166" s="544"/>
      <c r="AV166" s="544"/>
      <c r="AW166" s="544"/>
      <c r="AX166" s="544"/>
      <c r="AY166" s="544"/>
      <c r="AZ166" s="544"/>
      <c r="BA166" s="544"/>
      <c r="BB166" s="544"/>
      <c r="BC166" s="544"/>
      <c r="BD166" s="544"/>
    </row>
    <row r="167" spans="1:56" ht="12.75">
      <c r="A167" s="544"/>
      <c r="B167" s="544"/>
      <c r="C167" s="544"/>
      <c r="D167" s="544"/>
      <c r="E167" s="784"/>
      <c r="F167" s="78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4"/>
      <c r="AL167" s="544"/>
      <c r="AM167" s="544"/>
      <c r="AN167" s="544"/>
      <c r="AO167" s="544"/>
      <c r="AP167" s="544"/>
      <c r="AQ167" s="544"/>
      <c r="AR167" s="544"/>
      <c r="AS167" s="544"/>
      <c r="AT167" s="544"/>
      <c r="AU167" s="544"/>
      <c r="AV167" s="544"/>
      <c r="AW167" s="544"/>
      <c r="AX167" s="544"/>
      <c r="AY167" s="544"/>
      <c r="AZ167" s="544"/>
      <c r="BA167" s="544"/>
      <c r="BB167" s="544"/>
      <c r="BC167" s="544"/>
      <c r="BD167" s="544"/>
    </row>
  </sheetData>
  <sheetProtection password="F30F" sheet="1"/>
  <mergeCells count="226">
    <mergeCell ref="Y92:AH94"/>
    <mergeCell ref="AI92:AL94"/>
    <mergeCell ref="B17:C20"/>
    <mergeCell ref="B21:C21"/>
    <mergeCell ref="B25:C28"/>
    <mergeCell ref="B29:C29"/>
    <mergeCell ref="B33:C43"/>
    <mergeCell ref="B47:C57"/>
    <mergeCell ref="Z60:AM61"/>
    <mergeCell ref="Z62:AM63"/>
    <mergeCell ref="M152:N152"/>
    <mergeCell ref="O152:Q152"/>
    <mergeCell ref="O156:Q156"/>
    <mergeCell ref="H5:AE7"/>
    <mergeCell ref="I158:U162"/>
    <mergeCell ref="R142:R156"/>
    <mergeCell ref="S142:S156"/>
    <mergeCell ref="R38:V40"/>
    <mergeCell ref="O38:Q40"/>
    <mergeCell ref="M148:N148"/>
    <mergeCell ref="O148:Q148"/>
    <mergeCell ref="T148:V148"/>
    <mergeCell ref="I156:J156"/>
    <mergeCell ref="T150:V150"/>
    <mergeCell ref="I149:Q150"/>
    <mergeCell ref="T156:V156"/>
    <mergeCell ref="I154:J154"/>
    <mergeCell ref="K154:L154"/>
    <mergeCell ref="I152:J152"/>
    <mergeCell ref="K152:L152"/>
    <mergeCell ref="T152:V152"/>
    <mergeCell ref="K156:L156"/>
    <mergeCell ref="M156:N156"/>
    <mergeCell ref="I146:J146"/>
    <mergeCell ref="K146:L146"/>
    <mergeCell ref="M146:N146"/>
    <mergeCell ref="O146:Q146"/>
    <mergeCell ref="T146:V146"/>
    <mergeCell ref="M154:N154"/>
    <mergeCell ref="O154:Q154"/>
    <mergeCell ref="T154:V154"/>
    <mergeCell ref="I148:J148"/>
    <mergeCell ref="K148:L148"/>
    <mergeCell ref="I144:J144"/>
    <mergeCell ref="K144:L144"/>
    <mergeCell ref="R120:R135"/>
    <mergeCell ref="T128:V128"/>
    <mergeCell ref="M130:N130"/>
    <mergeCell ref="M122:N122"/>
    <mergeCell ref="T122:V122"/>
    <mergeCell ref="M144:N144"/>
    <mergeCell ref="O144:Q144"/>
    <mergeCell ref="T144:V144"/>
    <mergeCell ref="K110:P112"/>
    <mergeCell ref="S131:S135"/>
    <mergeCell ref="T142:V142"/>
    <mergeCell ref="I134:L134"/>
    <mergeCell ref="I130:J130"/>
    <mergeCell ref="T124:V124"/>
    <mergeCell ref="T136:V138"/>
    <mergeCell ref="Z64:AM65"/>
    <mergeCell ref="H110:J112"/>
    <mergeCell ref="Z66:AM67"/>
    <mergeCell ref="Q42:V42"/>
    <mergeCell ref="Q44:V44"/>
    <mergeCell ref="Q46:V46"/>
    <mergeCell ref="Q50:V50"/>
    <mergeCell ref="Q110:V112"/>
    <mergeCell ref="AJ48:AJ50"/>
    <mergeCell ref="AK48:AK50"/>
    <mergeCell ref="AD48:AD50"/>
    <mergeCell ref="AE48:AE50"/>
    <mergeCell ref="X28:AA28"/>
    <mergeCell ref="X38:Z40"/>
    <mergeCell ref="X42:Z44"/>
    <mergeCell ref="X46:Z49"/>
    <mergeCell ref="AA48:AA50"/>
    <mergeCell ref="X34:Z36"/>
    <mergeCell ref="AD22:AH22"/>
    <mergeCell ref="AL48:AL50"/>
    <mergeCell ref="X16:AB18"/>
    <mergeCell ref="AI16:AM18"/>
    <mergeCell ref="AD20:AH20"/>
    <mergeCell ref="AH48:AH50"/>
    <mergeCell ref="AI48:AI50"/>
    <mergeCell ref="Y26:AM27"/>
    <mergeCell ref="AB28:AK28"/>
    <mergeCell ref="X30:Z32"/>
    <mergeCell ref="AG48:AG50"/>
    <mergeCell ref="AB48:AB50"/>
    <mergeCell ref="AC48:AC50"/>
    <mergeCell ref="Q16:V18"/>
    <mergeCell ref="H38:M40"/>
    <mergeCell ref="Q48:V48"/>
    <mergeCell ref="Q23:U24"/>
    <mergeCell ref="I19:P20"/>
    <mergeCell ref="I21:P22"/>
    <mergeCell ref="AC16:AH18"/>
    <mergeCell ref="I63:Q64"/>
    <mergeCell ref="R66:S66"/>
    <mergeCell ref="R64:S64"/>
    <mergeCell ref="Q54:V54"/>
    <mergeCell ref="Q56:V56"/>
    <mergeCell ref="R70:S70"/>
    <mergeCell ref="I136:Q138"/>
    <mergeCell ref="T82:V82"/>
    <mergeCell ref="Q90:V90"/>
    <mergeCell ref="Q88:V88"/>
    <mergeCell ref="T114:V116"/>
    <mergeCell ref="K130:L130"/>
    <mergeCell ref="S120:S129"/>
    <mergeCell ref="M134:N134"/>
    <mergeCell ref="O134:Q134"/>
    <mergeCell ref="O128:Q128"/>
    <mergeCell ref="AI19:AM20"/>
    <mergeCell ref="AI21:AM22"/>
    <mergeCell ref="P34:Q34"/>
    <mergeCell ref="R31:V32"/>
    <mergeCell ref="R33:V34"/>
    <mergeCell ref="Q106:V106"/>
    <mergeCell ref="R74:S74"/>
    <mergeCell ref="I23:P24"/>
    <mergeCell ref="Q19:U20"/>
    <mergeCell ref="I33:N34"/>
    <mergeCell ref="I122:J122"/>
    <mergeCell ref="K122:L122"/>
    <mergeCell ref="I124:J124"/>
    <mergeCell ref="K124:L124"/>
    <mergeCell ref="M124:N124"/>
    <mergeCell ref="O124:Q124"/>
    <mergeCell ref="B2:C7"/>
    <mergeCell ref="A9:D9"/>
    <mergeCell ref="B13:C13"/>
    <mergeCell ref="B14:C14"/>
    <mergeCell ref="I93:Q94"/>
    <mergeCell ref="B65:C65"/>
    <mergeCell ref="Q52:V52"/>
    <mergeCell ref="H16:P18"/>
    <mergeCell ref="Q60:V62"/>
    <mergeCell ref="T76:V76"/>
    <mergeCell ref="R80:S80"/>
    <mergeCell ref="I85:Q86"/>
    <mergeCell ref="H60:M62"/>
    <mergeCell ref="Q108:V108"/>
    <mergeCell ref="O122:Q122"/>
    <mergeCell ref="R78:S78"/>
    <mergeCell ref="T78:V78"/>
    <mergeCell ref="T66:V66"/>
    <mergeCell ref="T119:V120"/>
    <mergeCell ref="T70:V70"/>
    <mergeCell ref="T130:V130"/>
    <mergeCell ref="I131:Q132"/>
    <mergeCell ref="A70:D70"/>
    <mergeCell ref="B61:C64"/>
    <mergeCell ref="Q92:V92"/>
    <mergeCell ref="I126:J126"/>
    <mergeCell ref="K126:L126"/>
    <mergeCell ref="M126:N126"/>
    <mergeCell ref="T80:V80"/>
    <mergeCell ref="T72:V72"/>
    <mergeCell ref="T134:V134"/>
    <mergeCell ref="T74:V74"/>
    <mergeCell ref="R76:S76"/>
    <mergeCell ref="R68:S68"/>
    <mergeCell ref="AF48:AF50"/>
    <mergeCell ref="I128:J128"/>
    <mergeCell ref="T131:V132"/>
    <mergeCell ref="K128:L128"/>
    <mergeCell ref="M128:N128"/>
    <mergeCell ref="O130:Q130"/>
    <mergeCell ref="I119:Q120"/>
    <mergeCell ref="Y86:AH88"/>
    <mergeCell ref="Q96:V96"/>
    <mergeCell ref="Q98:V98"/>
    <mergeCell ref="Q100:V100"/>
    <mergeCell ref="R28:V30"/>
    <mergeCell ref="T68:V68"/>
    <mergeCell ref="X70:AM72"/>
    <mergeCell ref="Y78:AH80"/>
    <mergeCell ref="R72:S72"/>
    <mergeCell ref="I141:Q142"/>
    <mergeCell ref="Y106:AL109"/>
    <mergeCell ref="AJ139:AL140"/>
    <mergeCell ref="AJ141:AL142"/>
    <mergeCell ref="AI95:AL96"/>
    <mergeCell ref="Q104:V104"/>
    <mergeCell ref="I114:Q116"/>
    <mergeCell ref="I101:P102"/>
    <mergeCell ref="O126:Q126"/>
    <mergeCell ref="T126:V126"/>
    <mergeCell ref="AI101:AL104"/>
    <mergeCell ref="AI78:AI80"/>
    <mergeCell ref="AI86:AI88"/>
    <mergeCell ref="Y95:AH100"/>
    <mergeCell ref="AJ86:AL88"/>
    <mergeCell ref="AJ82:AL84"/>
    <mergeCell ref="AI97:AL100"/>
    <mergeCell ref="Y101:AH104"/>
    <mergeCell ref="AJ78:AL80"/>
    <mergeCell ref="Y82:AH84"/>
    <mergeCell ref="Y154:AL155"/>
    <mergeCell ref="Y156:AL157"/>
    <mergeCell ref="AD128:AK128"/>
    <mergeCell ref="Y136:AG138"/>
    <mergeCell ref="Y158:AB160"/>
    <mergeCell ref="AH158:AL160"/>
    <mergeCell ref="AC158:AG160"/>
    <mergeCell ref="Y143:AG146"/>
    <mergeCell ref="Y150:AL151"/>
    <mergeCell ref="Y152:AL153"/>
    <mergeCell ref="Y139:AF140"/>
    <mergeCell ref="Y141:AE142"/>
    <mergeCell ref="AF141:AI142"/>
    <mergeCell ref="AB132:AK134"/>
    <mergeCell ref="AD126:AK127"/>
    <mergeCell ref="AJ143:AL147"/>
    <mergeCell ref="AJ74:AL76"/>
    <mergeCell ref="Y74:AH76"/>
    <mergeCell ref="I31:O32"/>
    <mergeCell ref="P32:Q32"/>
    <mergeCell ref="AH5:AM7"/>
    <mergeCell ref="H28:M30"/>
    <mergeCell ref="N28:Q30"/>
    <mergeCell ref="Q21:U22"/>
    <mergeCell ref="Y19:AC20"/>
    <mergeCell ref="Y21:AC22"/>
  </mergeCells>
  <conditionalFormatting sqref="B13">
    <cfRule type="expression" priority="9" dxfId="8" stopIfTrue="1">
      <formula>E13=1</formula>
    </cfRule>
  </conditionalFormatting>
  <conditionalFormatting sqref="AA54">
    <cfRule type="expression" priority="61" dxfId="18" stopIfTrue="1">
      <formula>$AB$32&gt;999.9</formula>
    </cfRule>
  </conditionalFormatting>
  <conditionalFormatting sqref="AB54">
    <cfRule type="expression" priority="60" dxfId="18" stopIfTrue="1">
      <formula>$AC$32&gt;999.9</formula>
    </cfRule>
  </conditionalFormatting>
  <conditionalFormatting sqref="AC54">
    <cfRule type="expression" priority="59" dxfId="18" stopIfTrue="1">
      <formula>$AD$32&gt;999.9</formula>
    </cfRule>
  </conditionalFormatting>
  <conditionalFormatting sqref="AD54">
    <cfRule type="expression" priority="58" dxfId="18" stopIfTrue="1">
      <formula>$AE$32&gt;999.9</formula>
    </cfRule>
  </conditionalFormatting>
  <conditionalFormatting sqref="AE54">
    <cfRule type="expression" priority="57" dxfId="18" stopIfTrue="1">
      <formula>$AF$32&gt;999.9</formula>
    </cfRule>
  </conditionalFormatting>
  <conditionalFormatting sqref="AF54">
    <cfRule type="expression" priority="56" dxfId="18" stopIfTrue="1">
      <formula>$AG$32&gt;999.9</formula>
    </cfRule>
  </conditionalFormatting>
  <conditionalFormatting sqref="AG54">
    <cfRule type="expression" priority="55" dxfId="18" stopIfTrue="1">
      <formula>$AH$32&gt;999.9</formula>
    </cfRule>
  </conditionalFormatting>
  <conditionalFormatting sqref="AH54">
    <cfRule type="expression" priority="54" dxfId="18" stopIfTrue="1">
      <formula>$AI$32&gt;999.9</formula>
    </cfRule>
  </conditionalFormatting>
  <conditionalFormatting sqref="AI54">
    <cfRule type="expression" priority="53" dxfId="18" stopIfTrue="1">
      <formula>$AJ$32&gt;999.9</formula>
    </cfRule>
  </conditionalFormatting>
  <conditionalFormatting sqref="AJ54">
    <cfRule type="expression" priority="52" dxfId="18" stopIfTrue="1">
      <formula>$AK$32&gt;999.9</formula>
    </cfRule>
  </conditionalFormatting>
  <conditionalFormatting sqref="AK54">
    <cfRule type="expression" priority="51" dxfId="18" stopIfTrue="1">
      <formula>$AL$32&gt;999.9</formula>
    </cfRule>
  </conditionalFormatting>
  <conditionalFormatting sqref="AL54">
    <cfRule type="expression" priority="50" dxfId="18" stopIfTrue="1">
      <formula>$AM$32&gt;999.9</formula>
    </cfRule>
  </conditionalFormatting>
  <conditionalFormatting sqref="AA52">
    <cfRule type="expression" priority="49" dxfId="18" stopIfTrue="1">
      <formula>$AB$30&gt;999.9</formula>
    </cfRule>
  </conditionalFormatting>
  <conditionalFormatting sqref="AB52">
    <cfRule type="expression" priority="48" dxfId="18" stopIfTrue="1">
      <formula>$AC$30&gt;999.9</formula>
    </cfRule>
  </conditionalFormatting>
  <conditionalFormatting sqref="AC52">
    <cfRule type="expression" priority="47" dxfId="18" stopIfTrue="1">
      <formula>$AD$30&gt;999.9</formula>
    </cfRule>
  </conditionalFormatting>
  <conditionalFormatting sqref="AD52">
    <cfRule type="expression" priority="46" dxfId="18" stopIfTrue="1">
      <formula>$AE$30&gt;999.9</formula>
    </cfRule>
  </conditionalFormatting>
  <conditionalFormatting sqref="AE52">
    <cfRule type="expression" priority="45" dxfId="18" stopIfTrue="1">
      <formula>$AF$30&gt;999.9</formula>
    </cfRule>
  </conditionalFormatting>
  <conditionalFormatting sqref="AF52">
    <cfRule type="expression" priority="44" dxfId="18" stopIfTrue="1">
      <formula>$AG$30&gt;999.9</formula>
    </cfRule>
  </conditionalFormatting>
  <conditionalFormatting sqref="AG52">
    <cfRule type="expression" priority="43" dxfId="18" stopIfTrue="1">
      <formula>$AH$30&gt;999.9</formula>
    </cfRule>
  </conditionalFormatting>
  <conditionalFormatting sqref="AH52">
    <cfRule type="expression" priority="42" dxfId="18" stopIfTrue="1">
      <formula>$AI$30&gt;999.9</formula>
    </cfRule>
  </conditionalFormatting>
  <conditionalFormatting sqref="AI52">
    <cfRule type="expression" priority="41" dxfId="18" stopIfTrue="1">
      <formula>$AJ$30&gt;999.9</formula>
    </cfRule>
  </conditionalFormatting>
  <conditionalFormatting sqref="AJ52">
    <cfRule type="expression" priority="40" dxfId="18" stopIfTrue="1">
      <formula>$AK$30&gt;999.9</formula>
    </cfRule>
  </conditionalFormatting>
  <conditionalFormatting sqref="AK52">
    <cfRule type="expression" priority="39" dxfId="18" stopIfTrue="1">
      <formula>$AL$30&gt;999.9</formula>
    </cfRule>
  </conditionalFormatting>
  <conditionalFormatting sqref="AL52">
    <cfRule type="expression" priority="38" dxfId="18" stopIfTrue="1">
      <formula>$AM$30&gt;999.9</formula>
    </cfRule>
  </conditionalFormatting>
  <conditionalFormatting sqref="AA56">
    <cfRule type="expression" priority="37" dxfId="18" stopIfTrue="1">
      <formula>$AB$34&gt;999.9</formula>
    </cfRule>
  </conditionalFormatting>
  <conditionalFormatting sqref="AB56">
    <cfRule type="expression" priority="36" dxfId="18" stopIfTrue="1">
      <formula>$AC$34&gt;999.9</formula>
    </cfRule>
  </conditionalFormatting>
  <conditionalFormatting sqref="AC56">
    <cfRule type="expression" priority="35" dxfId="18" stopIfTrue="1">
      <formula>$AD$34&gt;999.9</formula>
    </cfRule>
  </conditionalFormatting>
  <conditionalFormatting sqref="AD56">
    <cfRule type="expression" priority="34" dxfId="18" stopIfTrue="1">
      <formula>$AE$34&gt;999.9</formula>
    </cfRule>
  </conditionalFormatting>
  <conditionalFormatting sqref="AE56">
    <cfRule type="expression" priority="33" dxfId="18" stopIfTrue="1">
      <formula>$AF$34&gt;999.9</formula>
    </cfRule>
  </conditionalFormatting>
  <conditionalFormatting sqref="AF56">
    <cfRule type="expression" priority="32" dxfId="18" stopIfTrue="1">
      <formula>$AG$34&gt;999.9</formula>
    </cfRule>
  </conditionalFormatting>
  <conditionalFormatting sqref="AG56">
    <cfRule type="expression" priority="31" dxfId="18" stopIfTrue="1">
      <formula>$AH$34&gt;999.9</formula>
    </cfRule>
  </conditionalFormatting>
  <conditionalFormatting sqref="AH56">
    <cfRule type="expression" priority="30" dxfId="18" stopIfTrue="1">
      <formula>$AI$34&gt;999.9</formula>
    </cfRule>
  </conditionalFormatting>
  <conditionalFormatting sqref="AI56">
    <cfRule type="expression" priority="29" dxfId="18" stopIfTrue="1">
      <formula>$AJ$34&gt;999.9</formula>
    </cfRule>
  </conditionalFormatting>
  <conditionalFormatting sqref="AJ56">
    <cfRule type="expression" priority="28" dxfId="18" stopIfTrue="1">
      <formula>$AK$34&gt;999.9</formula>
    </cfRule>
  </conditionalFormatting>
  <conditionalFormatting sqref="AK56">
    <cfRule type="expression" priority="27" dxfId="18" stopIfTrue="1">
      <formula>$AL$34&gt;999.9</formula>
    </cfRule>
  </conditionalFormatting>
  <conditionalFormatting sqref="AL56">
    <cfRule type="expression" priority="26" dxfId="18" stopIfTrue="1">
      <formula>$AM$34&gt;999.9</formula>
    </cfRule>
  </conditionalFormatting>
  <conditionalFormatting sqref="AC110:AC128">
    <cfRule type="expression" priority="18" dxfId="15" stopIfTrue="1">
      <formula>AND(Druck!#REF!/100&lt;Druck!#REF!,Druck!#REF!&gt;0.1)</formula>
    </cfRule>
  </conditionalFormatting>
  <conditionalFormatting sqref="C13">
    <cfRule type="expression" priority="242" dxfId="8" stopIfTrue="1">
      <formula>G13=1</formula>
    </cfRule>
  </conditionalFormatting>
  <conditionalFormatting sqref="AB110:AB128">
    <cfRule type="expression" priority="251" dxfId="15" stopIfTrue="1">
      <formula>$F$28=1</formula>
    </cfRule>
  </conditionalFormatting>
  <conditionalFormatting sqref="B14">
    <cfRule type="expression" priority="253" dxfId="8" stopIfTrue="1">
      <formula>E13=1</formula>
    </cfRule>
  </conditionalFormatting>
  <conditionalFormatting sqref="C14">
    <cfRule type="expression" priority="255" dxfId="8" stopIfTrue="1">
      <formula>G13=1</formula>
    </cfRule>
  </conditionalFormatting>
  <conditionalFormatting sqref="B17 B21">
    <cfRule type="expression" priority="3" dxfId="8" stopIfTrue="1">
      <formula>$E$43=1</formula>
    </cfRule>
  </conditionalFormatting>
  <conditionalFormatting sqref="B25:B28">
    <cfRule type="expression" priority="2" dxfId="8" stopIfTrue="1">
      <formula>E11=1</formula>
    </cfRule>
  </conditionalFormatting>
  <conditionalFormatting sqref="B29">
    <cfRule type="expression" priority="1" dxfId="8" stopIfTrue="1">
      <formula>E11=1</formula>
    </cfRule>
  </conditionalFormatting>
  <conditionalFormatting sqref="C25:C28">
    <cfRule type="expression" priority="4" dxfId="8" stopIfTrue="1">
      <formula>G11=1</formula>
    </cfRule>
  </conditionalFormatting>
  <conditionalFormatting sqref="C29">
    <cfRule type="expression" priority="5" dxfId="8" stopIfTrue="1">
      <formula>G11=1</formula>
    </cfRule>
  </conditionalFormatting>
  <hyperlinks>
    <hyperlink ref="B13:C13" location="Kalkulation_Eigenstrom!U1:AK8" display="Anlage"/>
    <hyperlink ref="B14:C14" location="Kalkulation_Eigenstrom!U1:AK8" display="(hier klicken)"/>
    <hyperlink ref="B17:C20" location="Kalkulation_Eigenstrom!AM1:BA8" display="Kosten"/>
    <hyperlink ref="B21:C21" location="Kalkulation_Eigenstrom!AM1:BA8" display="(hier klicken)"/>
    <hyperlink ref="B25:C28" location="Kalkulation_Eigenstrom!BC1:BR8" display="Erlöse "/>
    <hyperlink ref="B29:C29" location="Kalkulation_Eigenstrom!BC1:BR8" display="(hier klicken)"/>
    <hyperlink ref="B61:C64" location="Druck!G15" display="Druck "/>
    <hyperlink ref="B65:C65" location="Druck!G15" display="(hier klicken)"/>
    <hyperlink ref="B33:C43" location="Kalkulation_Eigenstrom!BT1:CL8" display="Kalkulation_Eigenstrom!BT1:CL8"/>
    <hyperlink ref="B47:C57" location="Kalkulation_Eigenstrom!CK1:DE8" display="Kalkulation_Eigenstrom!CK1:DE8"/>
  </hyperlinks>
  <printOptions/>
  <pageMargins left="0.3937007874015748" right="0.1968503937007874" top="0.1968503937007874" bottom="0.1968503937007874" header="0.31496062992125984" footer="0.31496062992125984"/>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A1:AJ151"/>
  <sheetViews>
    <sheetView zoomScale="70" zoomScaleNormal="70" zoomScalePageLayoutView="0" workbookViewId="0" topLeftCell="A1">
      <pane ySplit="5" topLeftCell="A64" activePane="bottomLeft" state="frozen"/>
      <selection pane="topLeft" activeCell="A1" sqref="A1"/>
      <selection pane="bottomLeft" activeCell="D75" sqref="D75"/>
    </sheetView>
  </sheetViews>
  <sheetFormatPr defaultColWidth="11.421875" defaultRowHeight="12.75"/>
  <cols>
    <col min="1" max="1" width="2.7109375" style="101" customWidth="1"/>
    <col min="2" max="3" width="5.7109375" style="101" customWidth="1"/>
    <col min="4" max="16384" width="11.421875" style="101" customWidth="1"/>
  </cols>
  <sheetData>
    <row r="1" spans="1:36" s="7" customFormat="1" ht="24.75" customHeight="1" thickBot="1">
      <c r="A1" s="12"/>
      <c r="B1" s="21" t="s">
        <v>169</v>
      </c>
      <c r="C1" s="21"/>
      <c r="D1" s="2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s="7" customFormat="1" ht="15" customHeight="1" thickBot="1" thickTop="1">
      <c r="A2" s="12"/>
      <c r="B2" s="2"/>
      <c r="C2" s="3"/>
      <c r="D2" s="8" t="s">
        <v>64</v>
      </c>
      <c r="E2" s="3"/>
      <c r="F2" s="54" t="s">
        <v>170</v>
      </c>
      <c r="G2" s="167" t="s">
        <v>107</v>
      </c>
      <c r="H2" s="8"/>
      <c r="I2" s="8"/>
      <c r="J2" s="8"/>
      <c r="K2" s="8"/>
      <c r="L2" s="8"/>
      <c r="M2" s="8"/>
      <c r="N2" s="8"/>
      <c r="O2" s="8"/>
      <c r="P2" s="8"/>
      <c r="Q2" s="8"/>
      <c r="R2" s="58"/>
      <c r="S2" s="58"/>
      <c r="T2" s="58"/>
      <c r="U2" s="58"/>
      <c r="V2" s="58"/>
      <c r="W2" s="58"/>
      <c r="X2" s="58"/>
      <c r="Y2" s="58"/>
      <c r="Z2" s="58"/>
      <c r="AA2" s="58"/>
      <c r="AB2" s="58"/>
      <c r="AC2" s="58"/>
      <c r="AD2" s="58"/>
      <c r="AE2" s="58"/>
      <c r="AF2" s="58"/>
      <c r="AG2" s="58"/>
      <c r="AH2" s="58"/>
      <c r="AI2" s="12"/>
      <c r="AJ2" s="12"/>
    </row>
    <row r="3" spans="1:36" s="20" customFormat="1" ht="15" customHeight="1">
      <c r="A3" s="12"/>
      <c r="B3" s="18"/>
      <c r="C3" s="79"/>
      <c r="D3" s="4" t="s">
        <v>65</v>
      </c>
      <c r="E3" s="19"/>
      <c r="F3" s="165" t="s">
        <v>171</v>
      </c>
      <c r="G3" s="168" t="s">
        <v>62</v>
      </c>
      <c r="H3" s="1319" t="s">
        <v>559</v>
      </c>
      <c r="I3" s="1320"/>
      <c r="J3" s="1320"/>
      <c r="K3" s="1320"/>
      <c r="L3" s="1320"/>
      <c r="M3" s="1320"/>
      <c r="N3" s="1320"/>
      <c r="O3" s="1320"/>
      <c r="P3" s="1320"/>
      <c r="Q3" s="1320"/>
      <c r="R3" s="1320"/>
      <c r="S3" s="1320"/>
      <c r="T3" s="1320"/>
      <c r="U3" s="1321"/>
      <c r="V3" s="1322" t="s">
        <v>113</v>
      </c>
      <c r="W3" s="1323"/>
      <c r="X3" s="1323"/>
      <c r="Y3" s="1324"/>
      <c r="Z3" s="1322" t="s">
        <v>121</v>
      </c>
      <c r="AA3" s="1324"/>
      <c r="AB3" s="1322" t="s">
        <v>114</v>
      </c>
      <c r="AC3" s="1323"/>
      <c r="AD3" s="1323"/>
      <c r="AE3" s="1323"/>
      <c r="AF3" s="91"/>
      <c r="AG3" s="92"/>
      <c r="AH3" s="57"/>
      <c r="AI3" s="17"/>
      <c r="AJ3" s="17"/>
    </row>
    <row r="4" spans="1:36" s="20" customFormat="1" ht="15" customHeight="1">
      <c r="A4" s="12"/>
      <c r="B4" s="18"/>
      <c r="C4" s="79"/>
      <c r="D4" s="4"/>
      <c r="E4" s="19"/>
      <c r="F4" s="165"/>
      <c r="G4" s="168"/>
      <c r="H4" s="1331" t="s">
        <v>373</v>
      </c>
      <c r="I4" s="1332"/>
      <c r="J4" s="1332"/>
      <c r="K4" s="1332"/>
      <c r="L4" s="1332"/>
      <c r="M4" s="1332"/>
      <c r="N4" s="1332"/>
      <c r="O4" s="1333"/>
      <c r="P4" s="1331" t="s">
        <v>374</v>
      </c>
      <c r="Q4" s="1333"/>
      <c r="R4" s="643"/>
      <c r="S4" s="643"/>
      <c r="T4" s="643"/>
      <c r="U4" s="644"/>
      <c r="V4" s="645"/>
      <c r="W4" s="646"/>
      <c r="X4" s="646"/>
      <c r="Y4" s="647"/>
      <c r="Z4" s="645"/>
      <c r="AA4" s="647"/>
      <c r="AB4" s="645"/>
      <c r="AC4" s="646"/>
      <c r="AD4" s="646"/>
      <c r="AE4" s="646"/>
      <c r="AF4" s="648"/>
      <c r="AG4" s="649"/>
      <c r="AH4" s="57"/>
      <c r="AI4" s="17"/>
      <c r="AJ4" s="17"/>
    </row>
    <row r="5" spans="1:36" s="20" customFormat="1" ht="15" customHeight="1">
      <c r="A5" s="12"/>
      <c r="B5" s="18"/>
      <c r="C5" s="79"/>
      <c r="D5" s="4"/>
      <c r="E5" s="19"/>
      <c r="F5" s="19"/>
      <c r="G5" s="169" t="s">
        <v>63</v>
      </c>
      <c r="H5" s="30" t="s">
        <v>106</v>
      </c>
      <c r="I5" s="33" t="s">
        <v>105</v>
      </c>
      <c r="J5" s="31" t="s">
        <v>106</v>
      </c>
      <c r="K5" s="33" t="s">
        <v>105</v>
      </c>
      <c r="L5" s="31" t="s">
        <v>106</v>
      </c>
      <c r="M5" s="33" t="s">
        <v>105</v>
      </c>
      <c r="N5" s="31" t="s">
        <v>106</v>
      </c>
      <c r="O5" s="33" t="s">
        <v>105</v>
      </c>
      <c r="P5" s="31" t="s">
        <v>106</v>
      </c>
      <c r="Q5" s="33" t="s">
        <v>105</v>
      </c>
      <c r="R5" s="59"/>
      <c r="S5" s="60"/>
      <c r="T5" s="60"/>
      <c r="U5" s="61" t="s">
        <v>108</v>
      </c>
      <c r="V5" s="85">
        <v>0.3</v>
      </c>
      <c r="W5" s="33" t="s">
        <v>105</v>
      </c>
      <c r="X5" s="86">
        <v>1</v>
      </c>
      <c r="Y5" s="32" t="s">
        <v>105</v>
      </c>
      <c r="Z5" s="1325" t="s">
        <v>122</v>
      </c>
      <c r="AA5" s="1326"/>
      <c r="AB5" s="1327">
        <v>10</v>
      </c>
      <c r="AC5" s="1328"/>
      <c r="AD5" s="1329">
        <v>1000</v>
      </c>
      <c r="AE5" s="1330"/>
      <c r="AF5" s="1314">
        <v>10000</v>
      </c>
      <c r="AG5" s="1315"/>
      <c r="AH5" s="57"/>
      <c r="AI5" s="17"/>
      <c r="AJ5" s="17"/>
    </row>
    <row r="6" spans="1:36" s="7" customFormat="1" ht="15" customHeight="1">
      <c r="A6" s="12"/>
      <c r="B6" s="9">
        <v>1</v>
      </c>
      <c r="C6" s="4">
        <v>1</v>
      </c>
      <c r="D6" s="5" t="s">
        <v>93</v>
      </c>
      <c r="E6" s="22"/>
      <c r="F6" s="170">
        <v>0.19</v>
      </c>
      <c r="G6" s="35" t="s">
        <v>61</v>
      </c>
      <c r="H6" s="27">
        <v>30</v>
      </c>
      <c r="I6" s="28">
        <v>0.4301</v>
      </c>
      <c r="J6" s="36">
        <v>100</v>
      </c>
      <c r="K6" s="28">
        <v>0.4091</v>
      </c>
      <c r="L6" s="37">
        <v>1000</v>
      </c>
      <c r="M6" s="28">
        <v>0.3958</v>
      </c>
      <c r="N6" s="38">
        <f>L6</f>
        <v>1000</v>
      </c>
      <c r="O6" s="34">
        <v>0.33</v>
      </c>
      <c r="P6" s="38"/>
      <c r="Q6" s="34">
        <v>0.3194</v>
      </c>
      <c r="R6" s="70"/>
      <c r="S6" s="71"/>
      <c r="T6" s="71"/>
      <c r="U6" s="72"/>
      <c r="V6" s="66"/>
      <c r="W6" s="34">
        <v>0.18</v>
      </c>
      <c r="X6" s="66"/>
      <c r="Y6" s="34">
        <v>0.18</v>
      </c>
      <c r="Z6" s="94" t="s">
        <v>109</v>
      </c>
      <c r="AA6" s="95">
        <v>30</v>
      </c>
      <c r="AB6" s="70"/>
      <c r="AC6" s="87"/>
      <c r="AD6" s="70"/>
      <c r="AE6" s="87"/>
      <c r="AF6" s="70"/>
      <c r="AG6" s="87"/>
      <c r="AH6" s="67"/>
      <c r="AI6" s="12"/>
      <c r="AJ6" s="12"/>
    </row>
    <row r="7" spans="1:36" s="7" customFormat="1" ht="15" customHeight="1">
      <c r="A7" s="12"/>
      <c r="B7" s="9">
        <v>2</v>
      </c>
      <c r="C7" s="4">
        <v>1</v>
      </c>
      <c r="D7" s="5" t="s">
        <v>94</v>
      </c>
      <c r="E7" s="22"/>
      <c r="F7" s="170">
        <v>0.19</v>
      </c>
      <c r="G7" s="35" t="s">
        <v>61</v>
      </c>
      <c r="H7" s="27">
        <v>30</v>
      </c>
      <c r="I7" s="28">
        <v>0.4301</v>
      </c>
      <c r="J7" s="36">
        <v>100</v>
      </c>
      <c r="K7" s="28">
        <v>0.4091</v>
      </c>
      <c r="L7" s="37">
        <v>1000</v>
      </c>
      <c r="M7" s="28">
        <v>0.3958</v>
      </c>
      <c r="N7" s="38">
        <f aca="true" t="shared" si="0" ref="N7:N42">L7</f>
        <v>1000</v>
      </c>
      <c r="O7" s="34">
        <v>0.33</v>
      </c>
      <c r="P7" s="38"/>
      <c r="Q7" s="34">
        <v>0.3194</v>
      </c>
      <c r="R7" s="73"/>
      <c r="S7" s="74"/>
      <c r="T7" s="74"/>
      <c r="U7" s="75"/>
      <c r="V7" s="66"/>
      <c r="W7" s="34">
        <v>0.18</v>
      </c>
      <c r="X7" s="66"/>
      <c r="Y7" s="34">
        <v>0.18</v>
      </c>
      <c r="Z7" s="94" t="s">
        <v>109</v>
      </c>
      <c r="AA7" s="95">
        <v>30</v>
      </c>
      <c r="AB7" s="73"/>
      <c r="AC7" s="88"/>
      <c r="AD7" s="73"/>
      <c r="AE7" s="88"/>
      <c r="AF7" s="73"/>
      <c r="AG7" s="88"/>
      <c r="AH7" s="67"/>
      <c r="AI7" s="12"/>
      <c r="AJ7" s="12"/>
    </row>
    <row r="8" spans="1:36" s="7" customFormat="1" ht="15" customHeight="1">
      <c r="A8" s="12"/>
      <c r="B8" s="9">
        <v>3</v>
      </c>
      <c r="C8" s="4">
        <v>1</v>
      </c>
      <c r="D8" s="5" t="s">
        <v>95</v>
      </c>
      <c r="E8" s="22"/>
      <c r="F8" s="170">
        <v>0.19</v>
      </c>
      <c r="G8" s="35" t="s">
        <v>61</v>
      </c>
      <c r="H8" s="27">
        <v>30</v>
      </c>
      <c r="I8" s="28">
        <v>0.4301</v>
      </c>
      <c r="J8" s="36">
        <v>100</v>
      </c>
      <c r="K8" s="28">
        <v>0.4091</v>
      </c>
      <c r="L8" s="37">
        <v>1000</v>
      </c>
      <c r="M8" s="28">
        <v>0.3958</v>
      </c>
      <c r="N8" s="38">
        <f t="shared" si="0"/>
        <v>1000</v>
      </c>
      <c r="O8" s="34">
        <v>0.33</v>
      </c>
      <c r="P8" s="38"/>
      <c r="Q8" s="34">
        <v>0.3194</v>
      </c>
      <c r="R8" s="73"/>
      <c r="S8" s="74"/>
      <c r="T8" s="74"/>
      <c r="U8" s="75"/>
      <c r="V8" s="66"/>
      <c r="W8" s="34">
        <v>0.18</v>
      </c>
      <c r="X8" s="66"/>
      <c r="Y8" s="34">
        <v>0.18</v>
      </c>
      <c r="Z8" s="94" t="s">
        <v>109</v>
      </c>
      <c r="AA8" s="95">
        <v>30</v>
      </c>
      <c r="AB8" s="73"/>
      <c r="AC8" s="88"/>
      <c r="AD8" s="73"/>
      <c r="AE8" s="88"/>
      <c r="AF8" s="73"/>
      <c r="AG8" s="88"/>
      <c r="AH8" s="67"/>
      <c r="AI8" s="12"/>
      <c r="AJ8" s="12"/>
    </row>
    <row r="9" spans="1:36" s="7" customFormat="1" ht="15" customHeight="1">
      <c r="A9" s="12"/>
      <c r="B9" s="9">
        <v>4</v>
      </c>
      <c r="C9" s="4">
        <v>1</v>
      </c>
      <c r="D9" s="5" t="s">
        <v>96</v>
      </c>
      <c r="E9" s="22"/>
      <c r="F9" s="170">
        <v>0.19</v>
      </c>
      <c r="G9" s="35" t="s">
        <v>61</v>
      </c>
      <c r="H9" s="27">
        <v>30</v>
      </c>
      <c r="I9" s="28">
        <v>0.4301</v>
      </c>
      <c r="J9" s="36">
        <v>100</v>
      </c>
      <c r="K9" s="28">
        <v>0.4091</v>
      </c>
      <c r="L9" s="37">
        <v>1000</v>
      </c>
      <c r="M9" s="28">
        <v>0.3958</v>
      </c>
      <c r="N9" s="38">
        <f t="shared" si="0"/>
        <v>1000</v>
      </c>
      <c r="O9" s="34">
        <v>0.33</v>
      </c>
      <c r="P9" s="38"/>
      <c r="Q9" s="34">
        <v>0.3194</v>
      </c>
      <c r="R9" s="73"/>
      <c r="S9" s="74"/>
      <c r="T9" s="74"/>
      <c r="U9" s="75"/>
      <c r="V9" s="66"/>
      <c r="W9" s="34">
        <v>0.18</v>
      </c>
      <c r="X9" s="66"/>
      <c r="Y9" s="34">
        <v>0.18</v>
      </c>
      <c r="Z9" s="94" t="s">
        <v>109</v>
      </c>
      <c r="AA9" s="95">
        <v>30</v>
      </c>
      <c r="AB9" s="73"/>
      <c r="AC9" s="88"/>
      <c r="AD9" s="73"/>
      <c r="AE9" s="88"/>
      <c r="AF9" s="73"/>
      <c r="AG9" s="88"/>
      <c r="AH9" s="67"/>
      <c r="AI9" s="12"/>
      <c r="AJ9" s="12"/>
    </row>
    <row r="10" spans="1:36" s="7" customFormat="1" ht="15" customHeight="1">
      <c r="A10" s="12"/>
      <c r="B10" s="9">
        <v>5</v>
      </c>
      <c r="C10" s="4">
        <v>1</v>
      </c>
      <c r="D10" s="5" t="s">
        <v>97</v>
      </c>
      <c r="E10" s="22"/>
      <c r="F10" s="170">
        <v>0.19</v>
      </c>
      <c r="G10" s="35" t="s">
        <v>61</v>
      </c>
      <c r="H10" s="27">
        <v>30</v>
      </c>
      <c r="I10" s="28">
        <v>0.4301</v>
      </c>
      <c r="J10" s="36">
        <v>100</v>
      </c>
      <c r="K10" s="28">
        <v>0.4091</v>
      </c>
      <c r="L10" s="37">
        <v>1000</v>
      </c>
      <c r="M10" s="28">
        <v>0.3958</v>
      </c>
      <c r="N10" s="38">
        <f t="shared" si="0"/>
        <v>1000</v>
      </c>
      <c r="O10" s="34">
        <v>0.33</v>
      </c>
      <c r="P10" s="38"/>
      <c r="Q10" s="34">
        <v>0.3194</v>
      </c>
      <c r="R10" s="73"/>
      <c r="S10" s="74"/>
      <c r="T10" s="74"/>
      <c r="U10" s="75"/>
      <c r="V10" s="66"/>
      <c r="W10" s="34">
        <v>0.18</v>
      </c>
      <c r="X10" s="66"/>
      <c r="Y10" s="34">
        <v>0.18</v>
      </c>
      <c r="Z10" s="94" t="s">
        <v>109</v>
      </c>
      <c r="AA10" s="95">
        <v>30</v>
      </c>
      <c r="AB10" s="73"/>
      <c r="AC10" s="88"/>
      <c r="AD10" s="73"/>
      <c r="AE10" s="88"/>
      <c r="AF10" s="73"/>
      <c r="AG10" s="88"/>
      <c r="AH10" s="67"/>
      <c r="AI10" s="12"/>
      <c r="AJ10" s="12"/>
    </row>
    <row r="11" spans="1:36" s="7" customFormat="1" ht="15" customHeight="1">
      <c r="A11" s="12"/>
      <c r="B11" s="9">
        <v>6</v>
      </c>
      <c r="C11" s="4">
        <v>1</v>
      </c>
      <c r="D11" s="5" t="s">
        <v>98</v>
      </c>
      <c r="E11" s="22"/>
      <c r="F11" s="170">
        <v>0.19</v>
      </c>
      <c r="G11" s="35" t="s">
        <v>61</v>
      </c>
      <c r="H11" s="27">
        <v>30</v>
      </c>
      <c r="I11" s="28">
        <v>0.4301</v>
      </c>
      <c r="J11" s="36">
        <v>100</v>
      </c>
      <c r="K11" s="28">
        <v>0.4091</v>
      </c>
      <c r="L11" s="37">
        <v>1000</v>
      </c>
      <c r="M11" s="28">
        <v>0.3958</v>
      </c>
      <c r="N11" s="38">
        <f t="shared" si="0"/>
        <v>1000</v>
      </c>
      <c r="O11" s="34">
        <v>0.33</v>
      </c>
      <c r="P11" s="38"/>
      <c r="Q11" s="34">
        <v>0.3194</v>
      </c>
      <c r="R11" s="73"/>
      <c r="S11" s="74"/>
      <c r="T11" s="74"/>
      <c r="U11" s="75"/>
      <c r="V11" s="66"/>
      <c r="W11" s="34">
        <v>0.18</v>
      </c>
      <c r="X11" s="66"/>
      <c r="Y11" s="34">
        <v>0.18</v>
      </c>
      <c r="Z11" s="94" t="s">
        <v>109</v>
      </c>
      <c r="AA11" s="95">
        <v>30</v>
      </c>
      <c r="AB11" s="73"/>
      <c r="AC11" s="88"/>
      <c r="AD11" s="73"/>
      <c r="AE11" s="88"/>
      <c r="AF11" s="73"/>
      <c r="AG11" s="88"/>
      <c r="AH11" s="67"/>
      <c r="AI11" s="12"/>
      <c r="AJ11" s="12"/>
    </row>
    <row r="12" spans="1:36" s="7" customFormat="1" ht="15" customHeight="1">
      <c r="A12" s="12"/>
      <c r="B12" s="9">
        <v>7</v>
      </c>
      <c r="C12" s="4">
        <v>1</v>
      </c>
      <c r="D12" s="5" t="s">
        <v>99</v>
      </c>
      <c r="E12" s="22"/>
      <c r="F12" s="170">
        <v>0.19</v>
      </c>
      <c r="G12" s="35" t="s">
        <v>61</v>
      </c>
      <c r="H12" s="27">
        <v>30</v>
      </c>
      <c r="I12" s="28">
        <v>0.4301</v>
      </c>
      <c r="J12" s="36">
        <v>100</v>
      </c>
      <c r="K12" s="28">
        <v>0.4091</v>
      </c>
      <c r="L12" s="37">
        <v>1000</v>
      </c>
      <c r="M12" s="28">
        <v>0.3958</v>
      </c>
      <c r="N12" s="38">
        <f t="shared" si="0"/>
        <v>1000</v>
      </c>
      <c r="O12" s="34">
        <v>0.33</v>
      </c>
      <c r="P12" s="38"/>
      <c r="Q12" s="34">
        <v>0.3194</v>
      </c>
      <c r="R12" s="73"/>
      <c r="S12" s="74"/>
      <c r="T12" s="74"/>
      <c r="U12" s="75"/>
      <c r="V12" s="66"/>
      <c r="W12" s="34">
        <v>0.18</v>
      </c>
      <c r="X12" s="66"/>
      <c r="Y12" s="34">
        <v>0.18</v>
      </c>
      <c r="Z12" s="94" t="s">
        <v>109</v>
      </c>
      <c r="AA12" s="95">
        <v>30</v>
      </c>
      <c r="AB12" s="73"/>
      <c r="AC12" s="88"/>
      <c r="AD12" s="73"/>
      <c r="AE12" s="88"/>
      <c r="AF12" s="73"/>
      <c r="AG12" s="88"/>
      <c r="AH12" s="67"/>
      <c r="AI12" s="12"/>
      <c r="AJ12" s="12"/>
    </row>
    <row r="13" spans="1:36" s="7" customFormat="1" ht="15" customHeight="1">
      <c r="A13" s="12"/>
      <c r="B13" s="9">
        <v>8</v>
      </c>
      <c r="C13" s="4">
        <v>1</v>
      </c>
      <c r="D13" s="5" t="s">
        <v>100</v>
      </c>
      <c r="E13" s="22"/>
      <c r="F13" s="170">
        <v>0.19</v>
      </c>
      <c r="G13" s="35" t="s">
        <v>61</v>
      </c>
      <c r="H13" s="27">
        <v>30</v>
      </c>
      <c r="I13" s="28">
        <v>0.4301</v>
      </c>
      <c r="J13" s="36">
        <v>100</v>
      </c>
      <c r="K13" s="28">
        <v>0.4091</v>
      </c>
      <c r="L13" s="37">
        <v>1000</v>
      </c>
      <c r="M13" s="28">
        <v>0.3958</v>
      </c>
      <c r="N13" s="38">
        <f t="shared" si="0"/>
        <v>1000</v>
      </c>
      <c r="O13" s="34">
        <v>0.33</v>
      </c>
      <c r="P13" s="38"/>
      <c r="Q13" s="34">
        <v>0.3194</v>
      </c>
      <c r="R13" s="73"/>
      <c r="S13" s="74"/>
      <c r="T13" s="74"/>
      <c r="U13" s="75"/>
      <c r="V13" s="66"/>
      <c r="W13" s="34">
        <v>0.18</v>
      </c>
      <c r="X13" s="66"/>
      <c r="Y13" s="34">
        <v>0.18</v>
      </c>
      <c r="Z13" s="94" t="s">
        <v>109</v>
      </c>
      <c r="AA13" s="95">
        <v>30</v>
      </c>
      <c r="AB13" s="73"/>
      <c r="AC13" s="88"/>
      <c r="AD13" s="73"/>
      <c r="AE13" s="88"/>
      <c r="AF13" s="73"/>
      <c r="AG13" s="88"/>
      <c r="AH13" s="67"/>
      <c r="AI13" s="12"/>
      <c r="AJ13" s="12"/>
    </row>
    <row r="14" spans="1:36" s="7" customFormat="1" ht="15" customHeight="1">
      <c r="A14" s="12"/>
      <c r="B14" s="9">
        <v>9</v>
      </c>
      <c r="C14" s="4">
        <v>1</v>
      </c>
      <c r="D14" s="5" t="s">
        <v>101</v>
      </c>
      <c r="E14" s="22"/>
      <c r="F14" s="170">
        <v>0.19</v>
      </c>
      <c r="G14" s="35" t="s">
        <v>61</v>
      </c>
      <c r="H14" s="27">
        <v>30</v>
      </c>
      <c r="I14" s="28">
        <v>0.4301</v>
      </c>
      <c r="J14" s="36">
        <v>100</v>
      </c>
      <c r="K14" s="28">
        <v>0.4091</v>
      </c>
      <c r="L14" s="37">
        <v>1000</v>
      </c>
      <c r="M14" s="28">
        <v>0.3958</v>
      </c>
      <c r="N14" s="38">
        <f t="shared" si="0"/>
        <v>1000</v>
      </c>
      <c r="O14" s="34">
        <v>0.33</v>
      </c>
      <c r="P14" s="38"/>
      <c r="Q14" s="34">
        <v>0.3194</v>
      </c>
      <c r="R14" s="73"/>
      <c r="S14" s="74"/>
      <c r="T14" s="74"/>
      <c r="U14" s="75"/>
      <c r="V14" s="66"/>
      <c r="W14" s="34">
        <v>0.18</v>
      </c>
      <c r="X14" s="66"/>
      <c r="Y14" s="34">
        <v>0.18</v>
      </c>
      <c r="Z14" s="94" t="s">
        <v>109</v>
      </c>
      <c r="AA14" s="95">
        <v>30</v>
      </c>
      <c r="AB14" s="73"/>
      <c r="AC14" s="88"/>
      <c r="AD14" s="73"/>
      <c r="AE14" s="88"/>
      <c r="AF14" s="73"/>
      <c r="AG14" s="88"/>
      <c r="AH14" s="67"/>
      <c r="AI14" s="12"/>
      <c r="AJ14" s="12"/>
    </row>
    <row r="15" spans="1:36" s="7" customFormat="1" ht="15" customHeight="1">
      <c r="A15" s="12"/>
      <c r="B15" s="9">
        <v>10</v>
      </c>
      <c r="C15" s="4">
        <v>1</v>
      </c>
      <c r="D15" s="5" t="s">
        <v>102</v>
      </c>
      <c r="E15" s="22"/>
      <c r="F15" s="170">
        <v>0.19</v>
      </c>
      <c r="G15" s="35" t="s">
        <v>61</v>
      </c>
      <c r="H15" s="27">
        <v>30</v>
      </c>
      <c r="I15" s="28">
        <v>0.4301</v>
      </c>
      <c r="J15" s="36">
        <v>100</v>
      </c>
      <c r="K15" s="28">
        <v>0.4091</v>
      </c>
      <c r="L15" s="37">
        <v>1000</v>
      </c>
      <c r="M15" s="28">
        <v>0.3958</v>
      </c>
      <c r="N15" s="38">
        <f t="shared" si="0"/>
        <v>1000</v>
      </c>
      <c r="O15" s="34">
        <v>0.33</v>
      </c>
      <c r="P15" s="38"/>
      <c r="Q15" s="34">
        <v>0.3194</v>
      </c>
      <c r="R15" s="73"/>
      <c r="S15" s="74"/>
      <c r="T15" s="74"/>
      <c r="U15" s="75"/>
      <c r="V15" s="66"/>
      <c r="W15" s="34">
        <v>0.18</v>
      </c>
      <c r="X15" s="66"/>
      <c r="Y15" s="34">
        <v>0.18</v>
      </c>
      <c r="Z15" s="94" t="s">
        <v>109</v>
      </c>
      <c r="AA15" s="95">
        <v>30</v>
      </c>
      <c r="AB15" s="73"/>
      <c r="AC15" s="88"/>
      <c r="AD15" s="73"/>
      <c r="AE15" s="88"/>
      <c r="AF15" s="73"/>
      <c r="AG15" s="88"/>
      <c r="AH15" s="67"/>
      <c r="AI15" s="12"/>
      <c r="AJ15" s="12"/>
    </row>
    <row r="16" spans="1:36" s="7" customFormat="1" ht="15" customHeight="1">
      <c r="A16" s="12"/>
      <c r="B16" s="9">
        <v>11</v>
      </c>
      <c r="C16" s="4">
        <v>1</v>
      </c>
      <c r="D16" s="5" t="s">
        <v>103</v>
      </c>
      <c r="E16" s="22"/>
      <c r="F16" s="170">
        <v>0.19</v>
      </c>
      <c r="G16" s="35" t="s">
        <v>61</v>
      </c>
      <c r="H16" s="27">
        <v>30</v>
      </c>
      <c r="I16" s="28">
        <v>0.4301</v>
      </c>
      <c r="J16" s="36">
        <v>100</v>
      </c>
      <c r="K16" s="28">
        <v>0.4091</v>
      </c>
      <c r="L16" s="37">
        <v>1000</v>
      </c>
      <c r="M16" s="28">
        <v>0.3958</v>
      </c>
      <c r="N16" s="38">
        <f t="shared" si="0"/>
        <v>1000</v>
      </c>
      <c r="O16" s="34">
        <v>0.33</v>
      </c>
      <c r="P16" s="38"/>
      <c r="Q16" s="34">
        <v>0.3194</v>
      </c>
      <c r="R16" s="73"/>
      <c r="S16" s="74"/>
      <c r="T16" s="74"/>
      <c r="U16" s="75"/>
      <c r="V16" s="66"/>
      <c r="W16" s="34">
        <v>0.18</v>
      </c>
      <c r="X16" s="66"/>
      <c r="Y16" s="34">
        <v>0.18</v>
      </c>
      <c r="Z16" s="94" t="s">
        <v>109</v>
      </c>
      <c r="AA16" s="95">
        <v>30</v>
      </c>
      <c r="AB16" s="73"/>
      <c r="AC16" s="88"/>
      <c r="AD16" s="73"/>
      <c r="AE16" s="88"/>
      <c r="AF16" s="73"/>
      <c r="AG16" s="88"/>
      <c r="AH16" s="67"/>
      <c r="AI16" s="12"/>
      <c r="AJ16" s="12"/>
    </row>
    <row r="17" spans="1:36" s="7" customFormat="1" ht="15" customHeight="1">
      <c r="A17" s="12"/>
      <c r="B17" s="9">
        <v>12</v>
      </c>
      <c r="C17" s="4">
        <v>1</v>
      </c>
      <c r="D17" s="5" t="s">
        <v>104</v>
      </c>
      <c r="E17" s="22"/>
      <c r="F17" s="170">
        <v>0.19</v>
      </c>
      <c r="G17" s="35" t="s">
        <v>61</v>
      </c>
      <c r="H17" s="27">
        <v>30</v>
      </c>
      <c r="I17" s="28">
        <v>0.4301</v>
      </c>
      <c r="J17" s="36">
        <v>100</v>
      </c>
      <c r="K17" s="28">
        <v>0.4091</v>
      </c>
      <c r="L17" s="37">
        <v>1000</v>
      </c>
      <c r="M17" s="28">
        <v>0.3958</v>
      </c>
      <c r="N17" s="38">
        <f t="shared" si="0"/>
        <v>1000</v>
      </c>
      <c r="O17" s="34">
        <v>0.33</v>
      </c>
      <c r="P17" s="38"/>
      <c r="Q17" s="34">
        <v>0.3194</v>
      </c>
      <c r="R17" s="73"/>
      <c r="S17" s="74"/>
      <c r="T17" s="74"/>
      <c r="U17" s="75"/>
      <c r="V17" s="66"/>
      <c r="W17" s="34">
        <v>0.18</v>
      </c>
      <c r="X17" s="66"/>
      <c r="Y17" s="34">
        <v>0.18</v>
      </c>
      <c r="Z17" s="94" t="s">
        <v>109</v>
      </c>
      <c r="AA17" s="95">
        <v>30</v>
      </c>
      <c r="AB17" s="73"/>
      <c r="AC17" s="88"/>
      <c r="AD17" s="73"/>
      <c r="AE17" s="88"/>
      <c r="AF17" s="73"/>
      <c r="AG17" s="88"/>
      <c r="AH17" s="67"/>
      <c r="AI17" s="12"/>
      <c r="AJ17" s="12"/>
    </row>
    <row r="18" spans="1:36" s="7" customFormat="1" ht="15" customHeight="1">
      <c r="A18" s="12"/>
      <c r="B18" s="9">
        <v>13</v>
      </c>
      <c r="C18" s="4">
        <v>1</v>
      </c>
      <c r="D18" s="5" t="s">
        <v>81</v>
      </c>
      <c r="E18" s="22"/>
      <c r="F18" s="170">
        <v>0.19</v>
      </c>
      <c r="G18" s="35" t="s">
        <v>61</v>
      </c>
      <c r="H18" s="27">
        <v>30</v>
      </c>
      <c r="I18" s="28">
        <v>0.3914</v>
      </c>
      <c r="J18" s="36">
        <v>100</v>
      </c>
      <c r="K18" s="28">
        <v>0.3723</v>
      </c>
      <c r="L18" s="37">
        <v>1000</v>
      </c>
      <c r="M18" s="28">
        <v>0.3523</v>
      </c>
      <c r="N18" s="38">
        <f t="shared" si="0"/>
        <v>1000</v>
      </c>
      <c r="O18" s="34">
        <v>0.2937</v>
      </c>
      <c r="P18" s="38"/>
      <c r="Q18" s="34">
        <v>0.2843</v>
      </c>
      <c r="R18" s="73"/>
      <c r="S18" s="74"/>
      <c r="T18" s="74"/>
      <c r="U18" s="75"/>
      <c r="V18" s="66"/>
      <c r="W18" s="34">
        <v>0.1638</v>
      </c>
      <c r="X18" s="66"/>
      <c r="Y18" s="34">
        <v>0.1638</v>
      </c>
      <c r="Z18" s="94" t="s">
        <v>109</v>
      </c>
      <c r="AA18" s="95">
        <v>30</v>
      </c>
      <c r="AB18" s="73"/>
      <c r="AC18" s="88"/>
      <c r="AD18" s="73"/>
      <c r="AE18" s="88"/>
      <c r="AF18" s="73"/>
      <c r="AG18" s="88"/>
      <c r="AH18" s="67"/>
      <c r="AI18" s="12"/>
      <c r="AJ18" s="12"/>
    </row>
    <row r="19" spans="1:36" s="7" customFormat="1" ht="15" customHeight="1">
      <c r="A19" s="12"/>
      <c r="B19" s="9">
        <v>14</v>
      </c>
      <c r="C19" s="4">
        <v>1</v>
      </c>
      <c r="D19" s="5" t="s">
        <v>82</v>
      </c>
      <c r="E19" s="22"/>
      <c r="F19" s="170">
        <v>0.19</v>
      </c>
      <c r="G19" s="35" t="s">
        <v>61</v>
      </c>
      <c r="H19" s="27">
        <v>30</v>
      </c>
      <c r="I19" s="28">
        <v>0.3914</v>
      </c>
      <c r="J19" s="36">
        <v>100</v>
      </c>
      <c r="K19" s="28">
        <v>0.3723</v>
      </c>
      <c r="L19" s="37">
        <v>1000</v>
      </c>
      <c r="M19" s="28">
        <v>0.3523</v>
      </c>
      <c r="N19" s="38">
        <f t="shared" si="0"/>
        <v>1000</v>
      </c>
      <c r="O19" s="34">
        <v>0.2937</v>
      </c>
      <c r="P19" s="38"/>
      <c r="Q19" s="34">
        <v>0.2843</v>
      </c>
      <c r="R19" s="73"/>
      <c r="S19" s="74"/>
      <c r="T19" s="74"/>
      <c r="U19" s="75"/>
      <c r="V19" s="66"/>
      <c r="W19" s="34">
        <v>0.1638</v>
      </c>
      <c r="X19" s="66"/>
      <c r="Y19" s="34">
        <v>0.1638</v>
      </c>
      <c r="Z19" s="94" t="s">
        <v>109</v>
      </c>
      <c r="AA19" s="95">
        <v>30</v>
      </c>
      <c r="AB19" s="73"/>
      <c r="AC19" s="88"/>
      <c r="AD19" s="73"/>
      <c r="AE19" s="88"/>
      <c r="AF19" s="73"/>
      <c r="AG19" s="88"/>
      <c r="AH19" s="67"/>
      <c r="AI19" s="12"/>
      <c r="AJ19" s="12"/>
    </row>
    <row r="20" spans="1:36" s="7" customFormat="1" ht="15" customHeight="1">
      <c r="A20" s="12"/>
      <c r="B20" s="9">
        <v>15</v>
      </c>
      <c r="C20" s="4">
        <v>1</v>
      </c>
      <c r="D20" s="5" t="s">
        <v>83</v>
      </c>
      <c r="E20" s="22"/>
      <c r="F20" s="170">
        <v>0.19</v>
      </c>
      <c r="G20" s="35" t="s">
        <v>61</v>
      </c>
      <c r="H20" s="27">
        <v>30</v>
      </c>
      <c r="I20" s="28">
        <v>0.3914</v>
      </c>
      <c r="J20" s="36">
        <v>100</v>
      </c>
      <c r="K20" s="28">
        <v>0.3723</v>
      </c>
      <c r="L20" s="37">
        <v>1000</v>
      </c>
      <c r="M20" s="28">
        <v>0.3523</v>
      </c>
      <c r="N20" s="38">
        <f t="shared" si="0"/>
        <v>1000</v>
      </c>
      <c r="O20" s="34">
        <v>0.2937</v>
      </c>
      <c r="P20" s="38"/>
      <c r="Q20" s="34">
        <v>0.2843</v>
      </c>
      <c r="R20" s="73"/>
      <c r="S20" s="74"/>
      <c r="T20" s="74"/>
      <c r="U20" s="75"/>
      <c r="V20" s="66"/>
      <c r="W20" s="34">
        <v>0.1638</v>
      </c>
      <c r="X20" s="66"/>
      <c r="Y20" s="34">
        <v>0.1638</v>
      </c>
      <c r="Z20" s="94" t="s">
        <v>109</v>
      </c>
      <c r="AA20" s="95">
        <v>30</v>
      </c>
      <c r="AB20" s="73"/>
      <c r="AC20" s="88"/>
      <c r="AD20" s="73"/>
      <c r="AE20" s="88"/>
      <c r="AF20" s="73"/>
      <c r="AG20" s="88"/>
      <c r="AH20" s="67"/>
      <c r="AI20" s="12"/>
      <c r="AJ20" s="12"/>
    </row>
    <row r="21" spans="1:36" s="7" customFormat="1" ht="15" customHeight="1">
      <c r="A21" s="12"/>
      <c r="B21" s="9">
        <v>16</v>
      </c>
      <c r="C21" s="4">
        <v>1</v>
      </c>
      <c r="D21" s="5" t="s">
        <v>84</v>
      </c>
      <c r="E21" s="22"/>
      <c r="F21" s="170">
        <v>0.19</v>
      </c>
      <c r="G21" s="35" t="s">
        <v>61</v>
      </c>
      <c r="H21" s="27">
        <v>30</v>
      </c>
      <c r="I21" s="28">
        <v>0.3914</v>
      </c>
      <c r="J21" s="36">
        <v>100</v>
      </c>
      <c r="K21" s="28">
        <v>0.3723</v>
      </c>
      <c r="L21" s="37">
        <v>1000</v>
      </c>
      <c r="M21" s="28">
        <v>0.3523</v>
      </c>
      <c r="N21" s="38">
        <f t="shared" si="0"/>
        <v>1000</v>
      </c>
      <c r="O21" s="34">
        <v>0.2937</v>
      </c>
      <c r="P21" s="38"/>
      <c r="Q21" s="34">
        <v>0.2843</v>
      </c>
      <c r="R21" s="73"/>
      <c r="S21" s="74"/>
      <c r="T21" s="74"/>
      <c r="U21" s="75"/>
      <c r="V21" s="66"/>
      <c r="W21" s="34">
        <v>0.1638</v>
      </c>
      <c r="X21" s="66"/>
      <c r="Y21" s="34">
        <v>0.1638</v>
      </c>
      <c r="Z21" s="94" t="s">
        <v>109</v>
      </c>
      <c r="AA21" s="95">
        <v>30</v>
      </c>
      <c r="AB21" s="73"/>
      <c r="AC21" s="88"/>
      <c r="AD21" s="73"/>
      <c r="AE21" s="88"/>
      <c r="AF21" s="73"/>
      <c r="AG21" s="88"/>
      <c r="AH21" s="67"/>
      <c r="AI21" s="12"/>
      <c r="AJ21" s="12"/>
    </row>
    <row r="22" spans="1:36" s="7" customFormat="1" ht="15" customHeight="1">
      <c r="A22" s="12"/>
      <c r="B22" s="9">
        <v>17</v>
      </c>
      <c r="C22" s="4">
        <v>1</v>
      </c>
      <c r="D22" s="5" t="s">
        <v>85</v>
      </c>
      <c r="E22" s="22"/>
      <c r="F22" s="170">
        <v>0.19</v>
      </c>
      <c r="G22" s="35" t="s">
        <v>61</v>
      </c>
      <c r="H22" s="27">
        <v>30</v>
      </c>
      <c r="I22" s="28">
        <v>0.3914</v>
      </c>
      <c r="J22" s="36">
        <v>100</v>
      </c>
      <c r="K22" s="28">
        <v>0.3723</v>
      </c>
      <c r="L22" s="37">
        <v>1000</v>
      </c>
      <c r="M22" s="28">
        <v>0.3523</v>
      </c>
      <c r="N22" s="38">
        <f t="shared" si="0"/>
        <v>1000</v>
      </c>
      <c r="O22" s="34">
        <v>0.2937</v>
      </c>
      <c r="P22" s="38"/>
      <c r="Q22" s="34">
        <v>0.2843</v>
      </c>
      <c r="R22" s="73"/>
      <c r="S22" s="74"/>
      <c r="T22" s="74"/>
      <c r="U22" s="75"/>
      <c r="V22" s="66"/>
      <c r="W22" s="34">
        <v>0.1638</v>
      </c>
      <c r="X22" s="66"/>
      <c r="Y22" s="34">
        <v>0.1638</v>
      </c>
      <c r="Z22" s="94" t="s">
        <v>109</v>
      </c>
      <c r="AA22" s="95">
        <v>30</v>
      </c>
      <c r="AB22" s="73"/>
      <c r="AC22" s="88"/>
      <c r="AD22" s="73"/>
      <c r="AE22" s="88"/>
      <c r="AF22" s="73"/>
      <c r="AG22" s="88"/>
      <c r="AH22" s="67"/>
      <c r="AI22" s="12"/>
      <c r="AJ22" s="12"/>
    </row>
    <row r="23" spans="1:36" s="7" customFormat="1" ht="15" customHeight="1">
      <c r="A23" s="12"/>
      <c r="B23" s="9">
        <v>18</v>
      </c>
      <c r="C23" s="4">
        <v>1</v>
      </c>
      <c r="D23" s="5" t="s">
        <v>86</v>
      </c>
      <c r="E23" s="22"/>
      <c r="F23" s="170">
        <v>0.19</v>
      </c>
      <c r="G23" s="35" t="s">
        <v>61</v>
      </c>
      <c r="H23" s="27">
        <v>30</v>
      </c>
      <c r="I23" s="28">
        <v>0.3914</v>
      </c>
      <c r="J23" s="36">
        <v>100</v>
      </c>
      <c r="K23" s="28">
        <v>0.3723</v>
      </c>
      <c r="L23" s="37">
        <v>1000</v>
      </c>
      <c r="M23" s="28">
        <v>0.3523</v>
      </c>
      <c r="N23" s="38">
        <f t="shared" si="0"/>
        <v>1000</v>
      </c>
      <c r="O23" s="34">
        <v>0.2937</v>
      </c>
      <c r="P23" s="38"/>
      <c r="Q23" s="34">
        <v>0.2843</v>
      </c>
      <c r="R23" s="73"/>
      <c r="S23" s="74"/>
      <c r="T23" s="74"/>
      <c r="U23" s="75"/>
      <c r="V23" s="66"/>
      <c r="W23" s="34">
        <v>0.1638</v>
      </c>
      <c r="X23" s="66"/>
      <c r="Y23" s="34">
        <v>0.1638</v>
      </c>
      <c r="Z23" s="94" t="s">
        <v>109</v>
      </c>
      <c r="AA23" s="95">
        <v>30</v>
      </c>
      <c r="AB23" s="73"/>
      <c r="AC23" s="88"/>
      <c r="AD23" s="73"/>
      <c r="AE23" s="88"/>
      <c r="AF23" s="73"/>
      <c r="AG23" s="88"/>
      <c r="AH23" s="67"/>
      <c r="AI23" s="12"/>
      <c r="AJ23" s="12"/>
    </row>
    <row r="24" spans="1:36" s="7" customFormat="1" ht="15" customHeight="1">
      <c r="A24" s="12"/>
      <c r="B24" s="9">
        <v>19</v>
      </c>
      <c r="C24" s="4">
        <v>2</v>
      </c>
      <c r="D24" s="5" t="s">
        <v>87</v>
      </c>
      <c r="E24" s="22"/>
      <c r="F24" s="170">
        <v>0.19</v>
      </c>
      <c r="G24" s="35" t="s">
        <v>61</v>
      </c>
      <c r="H24" s="27">
        <v>30</v>
      </c>
      <c r="I24" s="28">
        <v>0.3405</v>
      </c>
      <c r="J24" s="36">
        <v>100</v>
      </c>
      <c r="K24" s="28">
        <v>0.3239</v>
      </c>
      <c r="L24" s="37">
        <v>1000</v>
      </c>
      <c r="M24" s="28">
        <v>0.3065</v>
      </c>
      <c r="N24" s="38">
        <f t="shared" si="0"/>
        <v>1000</v>
      </c>
      <c r="O24" s="34">
        <v>0.2555</v>
      </c>
      <c r="P24" s="38"/>
      <c r="Q24" s="34">
        <v>0.2502</v>
      </c>
      <c r="R24" s="73"/>
      <c r="S24" s="74"/>
      <c r="T24" s="74"/>
      <c r="U24" s="75"/>
      <c r="V24" s="66"/>
      <c r="W24" s="34">
        <v>0.1638</v>
      </c>
      <c r="X24" s="66"/>
      <c r="Y24" s="34">
        <v>0.12</v>
      </c>
      <c r="Z24" s="94" t="s">
        <v>109</v>
      </c>
      <c r="AA24" s="95">
        <v>500</v>
      </c>
      <c r="AB24" s="73"/>
      <c r="AC24" s="88"/>
      <c r="AD24" s="73"/>
      <c r="AE24" s="88"/>
      <c r="AF24" s="73"/>
      <c r="AG24" s="88"/>
      <c r="AH24" s="67"/>
      <c r="AI24" s="12"/>
      <c r="AJ24" s="12"/>
    </row>
    <row r="25" spans="1:36" s="7" customFormat="1" ht="15" customHeight="1">
      <c r="A25" s="12"/>
      <c r="B25" s="9">
        <v>20</v>
      </c>
      <c r="C25" s="4">
        <v>2</v>
      </c>
      <c r="D25" s="5" t="s">
        <v>88</v>
      </c>
      <c r="E25" s="22"/>
      <c r="F25" s="170">
        <v>0.19</v>
      </c>
      <c r="G25" s="35" t="s">
        <v>61</v>
      </c>
      <c r="H25" s="27">
        <v>30</v>
      </c>
      <c r="I25" s="28">
        <v>0.3405</v>
      </c>
      <c r="J25" s="36">
        <v>100</v>
      </c>
      <c r="K25" s="28">
        <v>0.3239</v>
      </c>
      <c r="L25" s="37">
        <v>1000</v>
      </c>
      <c r="M25" s="28">
        <v>0.3065</v>
      </c>
      <c r="N25" s="38">
        <f t="shared" si="0"/>
        <v>1000</v>
      </c>
      <c r="O25" s="34">
        <v>0.2555</v>
      </c>
      <c r="P25" s="38"/>
      <c r="Q25" s="34">
        <v>0.2502</v>
      </c>
      <c r="R25" s="73"/>
      <c r="S25" s="74"/>
      <c r="T25" s="74"/>
      <c r="U25" s="75"/>
      <c r="V25" s="66"/>
      <c r="W25" s="34">
        <v>0.1638</v>
      </c>
      <c r="X25" s="66"/>
      <c r="Y25" s="34">
        <v>0.12</v>
      </c>
      <c r="Z25" s="94" t="s">
        <v>109</v>
      </c>
      <c r="AA25" s="95">
        <v>500</v>
      </c>
      <c r="AB25" s="73"/>
      <c r="AC25" s="88"/>
      <c r="AD25" s="73"/>
      <c r="AE25" s="88"/>
      <c r="AF25" s="73"/>
      <c r="AG25" s="88"/>
      <c r="AH25" s="67"/>
      <c r="AI25" s="12"/>
      <c r="AJ25" s="12"/>
    </row>
    <row r="26" spans="1:36" s="7" customFormat="1" ht="15" customHeight="1">
      <c r="A26" s="12"/>
      <c r="B26" s="9">
        <v>21</v>
      </c>
      <c r="C26" s="4">
        <v>2</v>
      </c>
      <c r="D26" s="5" t="s">
        <v>89</v>
      </c>
      <c r="E26" s="22"/>
      <c r="F26" s="170">
        <v>0.19</v>
      </c>
      <c r="G26" s="35" t="s">
        <v>61</v>
      </c>
      <c r="H26" s="27">
        <v>30</v>
      </c>
      <c r="I26" s="28">
        <v>0.3405</v>
      </c>
      <c r="J26" s="36">
        <v>100</v>
      </c>
      <c r="K26" s="28">
        <v>0.3239</v>
      </c>
      <c r="L26" s="37">
        <v>1000</v>
      </c>
      <c r="M26" s="28">
        <v>0.3065</v>
      </c>
      <c r="N26" s="38">
        <f t="shared" si="0"/>
        <v>1000</v>
      </c>
      <c r="O26" s="34">
        <v>0.2555</v>
      </c>
      <c r="P26" s="38"/>
      <c r="Q26" s="34">
        <v>0.2502</v>
      </c>
      <c r="R26" s="73"/>
      <c r="S26" s="74"/>
      <c r="T26" s="74"/>
      <c r="U26" s="75"/>
      <c r="V26" s="66"/>
      <c r="W26" s="34">
        <v>0.1638</v>
      </c>
      <c r="X26" s="66"/>
      <c r="Y26" s="34">
        <v>0.12</v>
      </c>
      <c r="Z26" s="94" t="s">
        <v>109</v>
      </c>
      <c r="AA26" s="95">
        <v>500</v>
      </c>
      <c r="AB26" s="73"/>
      <c r="AC26" s="88"/>
      <c r="AD26" s="73"/>
      <c r="AE26" s="88"/>
      <c r="AF26" s="73"/>
      <c r="AG26" s="88"/>
      <c r="AH26" s="67"/>
      <c r="AI26" s="12"/>
      <c r="AJ26" s="12"/>
    </row>
    <row r="27" spans="1:36" s="7" customFormat="1" ht="15" customHeight="1">
      <c r="A27" s="12"/>
      <c r="B27" s="9">
        <v>22</v>
      </c>
      <c r="C27" s="4">
        <v>2</v>
      </c>
      <c r="D27" s="5" t="s">
        <v>90</v>
      </c>
      <c r="E27" s="22"/>
      <c r="F27" s="170">
        <v>0.19</v>
      </c>
      <c r="G27" s="35" t="s">
        <v>61</v>
      </c>
      <c r="H27" s="27">
        <v>30</v>
      </c>
      <c r="I27" s="28">
        <v>0.3303</v>
      </c>
      <c r="J27" s="36">
        <v>100</v>
      </c>
      <c r="K27" s="28">
        <v>0.3124</v>
      </c>
      <c r="L27" s="37">
        <v>1000</v>
      </c>
      <c r="M27" s="28">
        <v>0.2943</v>
      </c>
      <c r="N27" s="38">
        <f t="shared" si="0"/>
        <v>1000</v>
      </c>
      <c r="O27" s="34">
        <v>0.2478</v>
      </c>
      <c r="P27" s="38"/>
      <c r="Q27" s="34">
        <v>0.2427</v>
      </c>
      <c r="R27" s="73"/>
      <c r="S27" s="74"/>
      <c r="T27" s="74"/>
      <c r="U27" s="75"/>
      <c r="V27" s="66"/>
      <c r="W27" s="34">
        <v>0.1638</v>
      </c>
      <c r="X27" s="66"/>
      <c r="Y27" s="34">
        <v>0.12</v>
      </c>
      <c r="Z27" s="94" t="s">
        <v>109</v>
      </c>
      <c r="AA27" s="95">
        <v>500</v>
      </c>
      <c r="AB27" s="73"/>
      <c r="AC27" s="88"/>
      <c r="AD27" s="73"/>
      <c r="AE27" s="88"/>
      <c r="AF27" s="73"/>
      <c r="AG27" s="88"/>
      <c r="AH27" s="67"/>
      <c r="AI27" s="12"/>
      <c r="AJ27" s="12"/>
    </row>
    <row r="28" spans="1:36" s="7" customFormat="1" ht="15" customHeight="1">
      <c r="A28" s="12"/>
      <c r="B28" s="9">
        <v>23</v>
      </c>
      <c r="C28" s="4">
        <v>2</v>
      </c>
      <c r="D28" s="5" t="s">
        <v>91</v>
      </c>
      <c r="E28" s="22"/>
      <c r="F28" s="170">
        <v>0.19</v>
      </c>
      <c r="G28" s="35" t="s">
        <v>61</v>
      </c>
      <c r="H28" s="27">
        <v>30</v>
      </c>
      <c r="I28" s="28">
        <v>0.3303</v>
      </c>
      <c r="J28" s="36">
        <v>100</v>
      </c>
      <c r="K28" s="28">
        <v>0.3124</v>
      </c>
      <c r="L28" s="37">
        <v>1000</v>
      </c>
      <c r="M28" s="28">
        <v>0.2943</v>
      </c>
      <c r="N28" s="38">
        <f t="shared" si="0"/>
        <v>1000</v>
      </c>
      <c r="O28" s="34">
        <v>0.2478</v>
      </c>
      <c r="P28" s="38"/>
      <c r="Q28" s="34">
        <v>0.2427</v>
      </c>
      <c r="R28" s="73"/>
      <c r="S28" s="74"/>
      <c r="T28" s="74"/>
      <c r="U28" s="75"/>
      <c r="V28" s="66"/>
      <c r="W28" s="34">
        <v>0.1638</v>
      </c>
      <c r="X28" s="66"/>
      <c r="Y28" s="34">
        <v>0.12</v>
      </c>
      <c r="Z28" s="94" t="s">
        <v>109</v>
      </c>
      <c r="AA28" s="95">
        <v>500</v>
      </c>
      <c r="AB28" s="73"/>
      <c r="AC28" s="88"/>
      <c r="AD28" s="73"/>
      <c r="AE28" s="88"/>
      <c r="AF28" s="73"/>
      <c r="AG28" s="88"/>
      <c r="AH28" s="67"/>
      <c r="AI28" s="12"/>
      <c r="AJ28" s="12"/>
    </row>
    <row r="29" spans="1:36" s="7" customFormat="1" ht="15" customHeight="1">
      <c r="A29" s="12"/>
      <c r="B29" s="9">
        <v>24</v>
      </c>
      <c r="C29" s="4">
        <v>2</v>
      </c>
      <c r="D29" s="5" t="s">
        <v>92</v>
      </c>
      <c r="E29" s="22"/>
      <c r="F29" s="170">
        <v>0.19</v>
      </c>
      <c r="G29" s="35" t="s">
        <v>61</v>
      </c>
      <c r="H29" s="27">
        <v>30</v>
      </c>
      <c r="I29" s="28">
        <v>0.3303</v>
      </c>
      <c r="J29" s="36">
        <v>100</v>
      </c>
      <c r="K29" s="28">
        <v>0.3124</v>
      </c>
      <c r="L29" s="37">
        <v>1000</v>
      </c>
      <c r="M29" s="28">
        <v>0.2943</v>
      </c>
      <c r="N29" s="38">
        <f t="shared" si="0"/>
        <v>1000</v>
      </c>
      <c r="O29" s="34">
        <v>0.2478</v>
      </c>
      <c r="P29" s="38"/>
      <c r="Q29" s="34">
        <v>0.2427</v>
      </c>
      <c r="R29" s="73"/>
      <c r="S29" s="74"/>
      <c r="T29" s="74"/>
      <c r="U29" s="75"/>
      <c r="V29" s="66"/>
      <c r="W29" s="34">
        <v>0.1638</v>
      </c>
      <c r="X29" s="66"/>
      <c r="Y29" s="34">
        <v>0.12</v>
      </c>
      <c r="Z29" s="94" t="s">
        <v>109</v>
      </c>
      <c r="AA29" s="95">
        <v>500</v>
      </c>
      <c r="AB29" s="73"/>
      <c r="AC29" s="88"/>
      <c r="AD29" s="73"/>
      <c r="AE29" s="88"/>
      <c r="AF29" s="73"/>
      <c r="AG29" s="88"/>
      <c r="AH29" s="67"/>
      <c r="AI29" s="12"/>
      <c r="AJ29" s="12"/>
    </row>
    <row r="30" spans="1:36" s="7" customFormat="1" ht="15" customHeight="1">
      <c r="A30" s="12"/>
      <c r="B30" s="9">
        <v>25</v>
      </c>
      <c r="C30" s="4">
        <v>2</v>
      </c>
      <c r="D30" s="5" t="s">
        <v>69</v>
      </c>
      <c r="E30" s="22"/>
      <c r="F30" s="170">
        <v>0.19</v>
      </c>
      <c r="G30" s="35" t="s">
        <v>61</v>
      </c>
      <c r="H30" s="27">
        <v>30</v>
      </c>
      <c r="I30" s="28">
        <v>0.2874</v>
      </c>
      <c r="J30" s="36">
        <v>100</v>
      </c>
      <c r="K30" s="28">
        <v>0.2733</v>
      </c>
      <c r="L30" s="37">
        <v>1000</v>
      </c>
      <c r="M30" s="28">
        <v>0.2587</v>
      </c>
      <c r="N30" s="38">
        <f t="shared" si="0"/>
        <v>1000</v>
      </c>
      <c r="O30" s="34">
        <v>0.2156</v>
      </c>
      <c r="P30" s="38"/>
      <c r="Q30" s="34">
        <v>0.2111</v>
      </c>
      <c r="R30" s="73"/>
      <c r="S30" s="74"/>
      <c r="T30" s="74"/>
      <c r="U30" s="75"/>
      <c r="V30" s="66"/>
      <c r="W30" s="34">
        <v>0.1638</v>
      </c>
      <c r="X30" s="66"/>
      <c r="Y30" s="34">
        <v>0.12</v>
      </c>
      <c r="Z30" s="94" t="s">
        <v>109</v>
      </c>
      <c r="AA30" s="95">
        <v>500</v>
      </c>
      <c r="AB30" s="73"/>
      <c r="AC30" s="88"/>
      <c r="AD30" s="73"/>
      <c r="AE30" s="88"/>
      <c r="AF30" s="73"/>
      <c r="AG30" s="88"/>
      <c r="AH30" s="67"/>
      <c r="AI30" s="12"/>
      <c r="AJ30" s="12"/>
    </row>
    <row r="31" spans="1:36" s="7" customFormat="1" ht="15" customHeight="1">
      <c r="A31" s="12"/>
      <c r="B31" s="9">
        <v>26</v>
      </c>
      <c r="C31" s="4">
        <v>2</v>
      </c>
      <c r="D31" s="5" t="s">
        <v>70</v>
      </c>
      <c r="E31" s="22"/>
      <c r="F31" s="170">
        <v>0.19</v>
      </c>
      <c r="G31" s="35" t="s">
        <v>61</v>
      </c>
      <c r="H31" s="27">
        <v>30</v>
      </c>
      <c r="I31" s="28">
        <v>0.2874</v>
      </c>
      <c r="J31" s="36">
        <v>100</v>
      </c>
      <c r="K31" s="28">
        <v>0.2733</v>
      </c>
      <c r="L31" s="37">
        <v>1000</v>
      </c>
      <c r="M31" s="28">
        <v>0.2587</v>
      </c>
      <c r="N31" s="38">
        <f t="shared" si="0"/>
        <v>1000</v>
      </c>
      <c r="O31" s="34">
        <v>0.2156</v>
      </c>
      <c r="P31" s="38"/>
      <c r="Q31" s="34">
        <v>0.2111</v>
      </c>
      <c r="R31" s="73"/>
      <c r="S31" s="74"/>
      <c r="T31" s="74"/>
      <c r="U31" s="75"/>
      <c r="V31" s="66"/>
      <c r="W31" s="34">
        <v>0.1638</v>
      </c>
      <c r="X31" s="66"/>
      <c r="Y31" s="34">
        <v>0.12</v>
      </c>
      <c r="Z31" s="94" t="s">
        <v>109</v>
      </c>
      <c r="AA31" s="95">
        <v>500</v>
      </c>
      <c r="AB31" s="73"/>
      <c r="AC31" s="88"/>
      <c r="AD31" s="73"/>
      <c r="AE31" s="88"/>
      <c r="AF31" s="73"/>
      <c r="AG31" s="88"/>
      <c r="AH31" s="67"/>
      <c r="AI31" s="12"/>
      <c r="AJ31" s="12"/>
    </row>
    <row r="32" spans="1:36" s="7" customFormat="1" ht="15" customHeight="1">
      <c r="A32" s="12"/>
      <c r="B32" s="9">
        <v>27</v>
      </c>
      <c r="C32" s="4">
        <v>2</v>
      </c>
      <c r="D32" s="5" t="s">
        <v>71</v>
      </c>
      <c r="E32" s="22"/>
      <c r="F32" s="170">
        <v>0.19</v>
      </c>
      <c r="G32" s="35" t="s">
        <v>61</v>
      </c>
      <c r="H32" s="27">
        <v>30</v>
      </c>
      <c r="I32" s="28">
        <v>0.2874</v>
      </c>
      <c r="J32" s="36">
        <v>100</v>
      </c>
      <c r="K32" s="28">
        <v>0.2733</v>
      </c>
      <c r="L32" s="37">
        <v>1000</v>
      </c>
      <c r="M32" s="28">
        <v>0.2587</v>
      </c>
      <c r="N32" s="38">
        <f t="shared" si="0"/>
        <v>1000</v>
      </c>
      <c r="O32" s="34">
        <v>0.2156</v>
      </c>
      <c r="P32" s="38"/>
      <c r="Q32" s="34">
        <v>0.2111</v>
      </c>
      <c r="R32" s="73"/>
      <c r="S32" s="74"/>
      <c r="T32" s="74"/>
      <c r="U32" s="75"/>
      <c r="V32" s="66"/>
      <c r="W32" s="34">
        <v>0.1638</v>
      </c>
      <c r="X32" s="66"/>
      <c r="Y32" s="34">
        <v>0.12</v>
      </c>
      <c r="Z32" s="94" t="s">
        <v>109</v>
      </c>
      <c r="AA32" s="95">
        <v>500</v>
      </c>
      <c r="AB32" s="73"/>
      <c r="AC32" s="88"/>
      <c r="AD32" s="73"/>
      <c r="AE32" s="88"/>
      <c r="AF32" s="73"/>
      <c r="AG32" s="88"/>
      <c r="AH32" s="67"/>
      <c r="AI32" s="12"/>
      <c r="AJ32" s="12"/>
    </row>
    <row r="33" spans="1:36" s="7" customFormat="1" ht="15" customHeight="1">
      <c r="A33" s="12"/>
      <c r="B33" s="9">
        <v>28</v>
      </c>
      <c r="C33" s="4">
        <v>2</v>
      </c>
      <c r="D33" s="5" t="s">
        <v>72</v>
      </c>
      <c r="E33" s="22"/>
      <c r="F33" s="170">
        <v>0.19</v>
      </c>
      <c r="G33" s="35" t="s">
        <v>61</v>
      </c>
      <c r="H33" s="27">
        <v>30</v>
      </c>
      <c r="I33" s="28">
        <v>0.2874</v>
      </c>
      <c r="J33" s="36">
        <v>100</v>
      </c>
      <c r="K33" s="28">
        <v>0.2733</v>
      </c>
      <c r="L33" s="37">
        <v>1000</v>
      </c>
      <c r="M33" s="28">
        <v>0.2587</v>
      </c>
      <c r="N33" s="38">
        <f t="shared" si="0"/>
        <v>1000</v>
      </c>
      <c r="O33" s="34">
        <v>0.2156</v>
      </c>
      <c r="P33" s="38"/>
      <c r="Q33" s="34">
        <v>0.2111</v>
      </c>
      <c r="R33" s="73"/>
      <c r="S33" s="74"/>
      <c r="T33" s="74"/>
      <c r="U33" s="75"/>
      <c r="V33" s="66"/>
      <c r="W33" s="34">
        <v>0.1638</v>
      </c>
      <c r="X33" s="66"/>
      <c r="Y33" s="34">
        <v>0.12</v>
      </c>
      <c r="Z33" s="94" t="s">
        <v>109</v>
      </c>
      <c r="AA33" s="95">
        <v>500</v>
      </c>
      <c r="AB33" s="73"/>
      <c r="AC33" s="88"/>
      <c r="AD33" s="73"/>
      <c r="AE33" s="88"/>
      <c r="AF33" s="73"/>
      <c r="AG33" s="88"/>
      <c r="AH33" s="67"/>
      <c r="AI33" s="12"/>
      <c r="AJ33" s="12"/>
    </row>
    <row r="34" spans="1:36" s="7" customFormat="1" ht="15" customHeight="1">
      <c r="A34" s="12"/>
      <c r="B34" s="9">
        <v>29</v>
      </c>
      <c r="C34" s="4">
        <v>2</v>
      </c>
      <c r="D34" s="5" t="s">
        <v>73</v>
      </c>
      <c r="E34" s="22"/>
      <c r="F34" s="170">
        <v>0.19</v>
      </c>
      <c r="G34" s="35" t="s">
        <v>61</v>
      </c>
      <c r="H34" s="27">
        <v>30</v>
      </c>
      <c r="I34" s="28">
        <v>0.2874</v>
      </c>
      <c r="J34" s="36">
        <v>100</v>
      </c>
      <c r="K34" s="28">
        <v>0.2733</v>
      </c>
      <c r="L34" s="37">
        <v>1000</v>
      </c>
      <c r="M34" s="28">
        <v>0.2587</v>
      </c>
      <c r="N34" s="38">
        <f t="shared" si="0"/>
        <v>1000</v>
      </c>
      <c r="O34" s="34">
        <v>0.2156</v>
      </c>
      <c r="P34" s="38"/>
      <c r="Q34" s="34">
        <v>0.2111</v>
      </c>
      <c r="R34" s="73"/>
      <c r="S34" s="74"/>
      <c r="T34" s="74"/>
      <c r="U34" s="75"/>
      <c r="V34" s="66"/>
      <c r="W34" s="34">
        <v>0.1638</v>
      </c>
      <c r="X34" s="66"/>
      <c r="Y34" s="34">
        <v>0.12</v>
      </c>
      <c r="Z34" s="94" t="s">
        <v>109</v>
      </c>
      <c r="AA34" s="95">
        <v>500</v>
      </c>
      <c r="AB34" s="73"/>
      <c r="AC34" s="88"/>
      <c r="AD34" s="73"/>
      <c r="AE34" s="88"/>
      <c r="AF34" s="73"/>
      <c r="AG34" s="88"/>
      <c r="AH34" s="67"/>
      <c r="AI34" s="12"/>
      <c r="AJ34" s="12"/>
    </row>
    <row r="35" spans="1:36" s="7" customFormat="1" ht="15" customHeight="1">
      <c r="A35" s="12"/>
      <c r="B35" s="9">
        <v>30</v>
      </c>
      <c r="C35" s="4">
        <v>2</v>
      </c>
      <c r="D35" s="5" t="s">
        <v>74</v>
      </c>
      <c r="E35" s="22"/>
      <c r="F35" s="170">
        <v>0.19</v>
      </c>
      <c r="G35" s="35" t="s">
        <v>61</v>
      </c>
      <c r="H35" s="27">
        <v>30</v>
      </c>
      <c r="I35" s="28">
        <v>0.2874</v>
      </c>
      <c r="J35" s="36">
        <v>100</v>
      </c>
      <c r="K35" s="28">
        <v>0.2733</v>
      </c>
      <c r="L35" s="37">
        <v>1000</v>
      </c>
      <c r="M35" s="28">
        <v>0.2587</v>
      </c>
      <c r="N35" s="38">
        <f t="shared" si="0"/>
        <v>1000</v>
      </c>
      <c r="O35" s="34">
        <v>0.2156</v>
      </c>
      <c r="P35" s="38"/>
      <c r="Q35" s="34">
        <v>0.2111</v>
      </c>
      <c r="R35" s="73"/>
      <c r="S35" s="74"/>
      <c r="T35" s="74"/>
      <c r="U35" s="75"/>
      <c r="V35" s="66"/>
      <c r="W35" s="34">
        <v>0.1638</v>
      </c>
      <c r="X35" s="66"/>
      <c r="Y35" s="34">
        <v>0.12</v>
      </c>
      <c r="Z35" s="94" t="s">
        <v>109</v>
      </c>
      <c r="AA35" s="95">
        <v>500</v>
      </c>
      <c r="AB35" s="73"/>
      <c r="AC35" s="88"/>
      <c r="AD35" s="73"/>
      <c r="AE35" s="88"/>
      <c r="AF35" s="73"/>
      <c r="AG35" s="88"/>
      <c r="AH35" s="67"/>
      <c r="AI35" s="12"/>
      <c r="AJ35" s="12"/>
    </row>
    <row r="36" spans="1:36" s="7" customFormat="1" ht="15" customHeight="1">
      <c r="A36" s="12"/>
      <c r="B36" s="9">
        <v>31</v>
      </c>
      <c r="C36" s="4">
        <v>2</v>
      </c>
      <c r="D36" s="5" t="s">
        <v>75</v>
      </c>
      <c r="E36" s="22"/>
      <c r="F36" s="170">
        <v>0.19</v>
      </c>
      <c r="G36" s="35" t="s">
        <v>61</v>
      </c>
      <c r="H36" s="27">
        <v>30</v>
      </c>
      <c r="I36" s="28">
        <v>0.2874</v>
      </c>
      <c r="J36" s="36">
        <v>100</v>
      </c>
      <c r="K36" s="28">
        <v>0.2733</v>
      </c>
      <c r="L36" s="37">
        <v>1000</v>
      </c>
      <c r="M36" s="28">
        <v>0.2587</v>
      </c>
      <c r="N36" s="38">
        <f t="shared" si="0"/>
        <v>1000</v>
      </c>
      <c r="O36" s="34">
        <v>0.2156</v>
      </c>
      <c r="P36" s="38"/>
      <c r="Q36" s="34">
        <v>0.2111</v>
      </c>
      <c r="R36" s="73"/>
      <c r="S36" s="74"/>
      <c r="T36" s="74"/>
      <c r="U36" s="75"/>
      <c r="V36" s="66"/>
      <c r="W36" s="34">
        <v>0.1638</v>
      </c>
      <c r="X36" s="66"/>
      <c r="Y36" s="34">
        <v>0.12</v>
      </c>
      <c r="Z36" s="94" t="s">
        <v>109</v>
      </c>
      <c r="AA36" s="95">
        <v>500</v>
      </c>
      <c r="AB36" s="73"/>
      <c r="AC36" s="88"/>
      <c r="AD36" s="73"/>
      <c r="AE36" s="88"/>
      <c r="AF36" s="73"/>
      <c r="AG36" s="88"/>
      <c r="AH36" s="67"/>
      <c r="AI36" s="12"/>
      <c r="AJ36" s="12"/>
    </row>
    <row r="37" spans="1:36" s="7" customFormat="1" ht="15" customHeight="1">
      <c r="A37" s="12"/>
      <c r="B37" s="9">
        <v>32</v>
      </c>
      <c r="C37" s="4">
        <v>2</v>
      </c>
      <c r="D37" s="5" t="s">
        <v>76</v>
      </c>
      <c r="E37" s="22"/>
      <c r="F37" s="170">
        <v>0.19</v>
      </c>
      <c r="G37" s="35" t="s">
        <v>61</v>
      </c>
      <c r="H37" s="27">
        <v>30</v>
      </c>
      <c r="I37" s="28">
        <v>0.2874</v>
      </c>
      <c r="J37" s="36">
        <v>100</v>
      </c>
      <c r="K37" s="28">
        <v>0.2733</v>
      </c>
      <c r="L37" s="37">
        <v>1000</v>
      </c>
      <c r="M37" s="28">
        <v>0.2587</v>
      </c>
      <c r="N37" s="38">
        <f t="shared" si="0"/>
        <v>1000</v>
      </c>
      <c r="O37" s="34">
        <v>0.2156</v>
      </c>
      <c r="P37" s="38"/>
      <c r="Q37" s="34">
        <v>0.2111</v>
      </c>
      <c r="R37" s="73"/>
      <c r="S37" s="74"/>
      <c r="T37" s="74"/>
      <c r="U37" s="75"/>
      <c r="V37" s="66"/>
      <c r="W37" s="34">
        <v>0.1638</v>
      </c>
      <c r="X37" s="66"/>
      <c r="Y37" s="34">
        <v>0.12</v>
      </c>
      <c r="Z37" s="94" t="s">
        <v>109</v>
      </c>
      <c r="AA37" s="95">
        <v>500</v>
      </c>
      <c r="AB37" s="73"/>
      <c r="AC37" s="88"/>
      <c r="AD37" s="73"/>
      <c r="AE37" s="88"/>
      <c r="AF37" s="73"/>
      <c r="AG37" s="88"/>
      <c r="AH37" s="67"/>
      <c r="AI37" s="12"/>
      <c r="AJ37" s="12"/>
    </row>
    <row r="38" spans="1:36" s="7" customFormat="1" ht="15" customHeight="1">
      <c r="A38" s="12"/>
      <c r="B38" s="9">
        <v>33</v>
      </c>
      <c r="C38" s="4">
        <v>2</v>
      </c>
      <c r="D38" s="5" t="s">
        <v>77</v>
      </c>
      <c r="E38" s="22"/>
      <c r="F38" s="170">
        <v>0.19</v>
      </c>
      <c r="G38" s="35" t="s">
        <v>61</v>
      </c>
      <c r="H38" s="27">
        <v>30</v>
      </c>
      <c r="I38" s="28">
        <v>0.2874</v>
      </c>
      <c r="J38" s="36">
        <v>100</v>
      </c>
      <c r="K38" s="28">
        <v>0.2733</v>
      </c>
      <c r="L38" s="37">
        <v>1000</v>
      </c>
      <c r="M38" s="28">
        <v>0.2587</v>
      </c>
      <c r="N38" s="38">
        <f t="shared" si="0"/>
        <v>1000</v>
      </c>
      <c r="O38" s="34">
        <v>0.2156</v>
      </c>
      <c r="P38" s="38"/>
      <c r="Q38" s="34">
        <v>0.2111</v>
      </c>
      <c r="R38" s="73"/>
      <c r="S38" s="74"/>
      <c r="T38" s="74"/>
      <c r="U38" s="75"/>
      <c r="V38" s="66"/>
      <c r="W38" s="34">
        <v>0.1638</v>
      </c>
      <c r="X38" s="66"/>
      <c r="Y38" s="34">
        <v>0.12</v>
      </c>
      <c r="Z38" s="94" t="s">
        <v>109</v>
      </c>
      <c r="AA38" s="95">
        <v>500</v>
      </c>
      <c r="AB38" s="73"/>
      <c r="AC38" s="88"/>
      <c r="AD38" s="73"/>
      <c r="AE38" s="88"/>
      <c r="AF38" s="73"/>
      <c r="AG38" s="88"/>
      <c r="AH38" s="67"/>
      <c r="AI38" s="12"/>
      <c r="AJ38" s="12"/>
    </row>
    <row r="39" spans="1:36" s="7" customFormat="1" ht="15" customHeight="1">
      <c r="A39" s="12"/>
      <c r="B39" s="9">
        <v>34</v>
      </c>
      <c r="C39" s="4">
        <v>2</v>
      </c>
      <c r="D39" s="5" t="s">
        <v>78</v>
      </c>
      <c r="E39" s="22"/>
      <c r="F39" s="170">
        <v>0.19</v>
      </c>
      <c r="G39" s="35" t="s">
        <v>61</v>
      </c>
      <c r="H39" s="27">
        <v>30</v>
      </c>
      <c r="I39" s="28">
        <v>0.2874</v>
      </c>
      <c r="J39" s="36">
        <v>100</v>
      </c>
      <c r="K39" s="28">
        <v>0.2733</v>
      </c>
      <c r="L39" s="37">
        <v>1000</v>
      </c>
      <c r="M39" s="28">
        <v>0.2587</v>
      </c>
      <c r="N39" s="38">
        <f t="shared" si="0"/>
        <v>1000</v>
      </c>
      <c r="O39" s="34">
        <v>0.2156</v>
      </c>
      <c r="P39" s="38"/>
      <c r="Q39" s="34">
        <v>0.2111</v>
      </c>
      <c r="R39" s="73"/>
      <c r="S39" s="74"/>
      <c r="T39" s="74"/>
      <c r="U39" s="75"/>
      <c r="V39" s="66"/>
      <c r="W39" s="34">
        <v>0.1638</v>
      </c>
      <c r="X39" s="66"/>
      <c r="Y39" s="34">
        <v>0.12</v>
      </c>
      <c r="Z39" s="94" t="s">
        <v>109</v>
      </c>
      <c r="AA39" s="95">
        <v>500</v>
      </c>
      <c r="AB39" s="73"/>
      <c r="AC39" s="88"/>
      <c r="AD39" s="73"/>
      <c r="AE39" s="88"/>
      <c r="AF39" s="73"/>
      <c r="AG39" s="88"/>
      <c r="AH39" s="67"/>
      <c r="AI39" s="12"/>
      <c r="AJ39" s="12"/>
    </row>
    <row r="40" spans="1:36" s="7" customFormat="1" ht="15" customHeight="1">
      <c r="A40" s="12"/>
      <c r="B40" s="9">
        <v>35</v>
      </c>
      <c r="C40" s="4">
        <v>2</v>
      </c>
      <c r="D40" s="5" t="s">
        <v>79</v>
      </c>
      <c r="E40" s="22"/>
      <c r="F40" s="170">
        <v>0.19</v>
      </c>
      <c r="G40" s="35" t="s">
        <v>61</v>
      </c>
      <c r="H40" s="27">
        <v>30</v>
      </c>
      <c r="I40" s="28">
        <v>0.2874</v>
      </c>
      <c r="J40" s="36">
        <v>100</v>
      </c>
      <c r="K40" s="28">
        <v>0.2733</v>
      </c>
      <c r="L40" s="37">
        <v>1000</v>
      </c>
      <c r="M40" s="28">
        <v>0.2587</v>
      </c>
      <c r="N40" s="38">
        <f t="shared" si="0"/>
        <v>1000</v>
      </c>
      <c r="O40" s="34">
        <v>0.2156</v>
      </c>
      <c r="P40" s="38"/>
      <c r="Q40" s="34">
        <v>0.2111</v>
      </c>
      <c r="R40" s="73"/>
      <c r="S40" s="74"/>
      <c r="T40" s="74"/>
      <c r="U40" s="75"/>
      <c r="V40" s="66"/>
      <c r="W40" s="34">
        <v>0.1638</v>
      </c>
      <c r="X40" s="66"/>
      <c r="Y40" s="34">
        <v>0.12</v>
      </c>
      <c r="Z40" s="94" t="s">
        <v>109</v>
      </c>
      <c r="AA40" s="95">
        <v>500</v>
      </c>
      <c r="AB40" s="73"/>
      <c r="AC40" s="88"/>
      <c r="AD40" s="73"/>
      <c r="AE40" s="88"/>
      <c r="AF40" s="73"/>
      <c r="AG40" s="88"/>
      <c r="AH40" s="67"/>
      <c r="AI40" s="12"/>
      <c r="AJ40" s="12"/>
    </row>
    <row r="41" spans="1:36" s="7" customFormat="1" ht="15" customHeight="1">
      <c r="A41" s="12"/>
      <c r="B41" s="9">
        <v>36</v>
      </c>
      <c r="C41" s="4">
        <v>2</v>
      </c>
      <c r="D41" s="5" t="s">
        <v>80</v>
      </c>
      <c r="E41" s="22"/>
      <c r="F41" s="170">
        <v>0.19</v>
      </c>
      <c r="G41" s="35" t="s">
        <v>61</v>
      </c>
      <c r="H41" s="27">
        <v>30</v>
      </c>
      <c r="I41" s="28">
        <v>0.2874</v>
      </c>
      <c r="J41" s="36">
        <v>100</v>
      </c>
      <c r="K41" s="28">
        <v>0.2733</v>
      </c>
      <c r="L41" s="37">
        <v>1000</v>
      </c>
      <c r="M41" s="28">
        <v>0.2587</v>
      </c>
      <c r="N41" s="38">
        <f t="shared" si="0"/>
        <v>1000</v>
      </c>
      <c r="O41" s="34">
        <v>0.2156</v>
      </c>
      <c r="P41" s="38"/>
      <c r="Q41" s="34">
        <v>0.2111</v>
      </c>
      <c r="R41" s="73"/>
      <c r="S41" s="74"/>
      <c r="T41" s="74"/>
      <c r="U41" s="75"/>
      <c r="V41" s="66"/>
      <c r="W41" s="34">
        <v>0.1638</v>
      </c>
      <c r="X41" s="66"/>
      <c r="Y41" s="34">
        <v>0.12</v>
      </c>
      <c r="Z41" s="94" t="s">
        <v>109</v>
      </c>
      <c r="AA41" s="95">
        <v>500</v>
      </c>
      <c r="AB41" s="73"/>
      <c r="AC41" s="88"/>
      <c r="AD41" s="73"/>
      <c r="AE41" s="88"/>
      <c r="AF41" s="73"/>
      <c r="AG41" s="88"/>
      <c r="AH41" s="67"/>
      <c r="AI41" s="12"/>
      <c r="AJ41" s="12"/>
    </row>
    <row r="42" spans="1:36" s="7" customFormat="1" ht="15" customHeight="1">
      <c r="A42" s="12"/>
      <c r="B42" s="9">
        <v>37</v>
      </c>
      <c r="C42" s="4">
        <v>2</v>
      </c>
      <c r="D42" s="5" t="s">
        <v>66</v>
      </c>
      <c r="E42" s="22"/>
      <c r="F42" s="170">
        <v>0.19</v>
      </c>
      <c r="G42" s="35" t="s">
        <v>61</v>
      </c>
      <c r="H42" s="27">
        <v>30</v>
      </c>
      <c r="I42" s="28">
        <v>0.2443</v>
      </c>
      <c r="J42" s="36">
        <v>100</v>
      </c>
      <c r="K42" s="28">
        <v>0.2323</v>
      </c>
      <c r="L42" s="37">
        <v>1000</v>
      </c>
      <c r="M42" s="28">
        <v>0.2198</v>
      </c>
      <c r="N42" s="38">
        <f t="shared" si="0"/>
        <v>1000</v>
      </c>
      <c r="O42" s="34">
        <v>0.1833</v>
      </c>
      <c r="P42" s="38"/>
      <c r="Q42" s="34">
        <v>0.1794</v>
      </c>
      <c r="R42" s="73"/>
      <c r="S42" s="74"/>
      <c r="T42" s="74"/>
      <c r="U42" s="75"/>
      <c r="V42" s="66"/>
      <c r="W42" s="34">
        <v>0.1638</v>
      </c>
      <c r="X42" s="66"/>
      <c r="Y42" s="34">
        <v>0.12</v>
      </c>
      <c r="Z42" s="94" t="s">
        <v>109</v>
      </c>
      <c r="AA42" s="95">
        <v>500</v>
      </c>
      <c r="AB42" s="73"/>
      <c r="AC42" s="88"/>
      <c r="AD42" s="73"/>
      <c r="AE42" s="88"/>
      <c r="AF42" s="73"/>
      <c r="AG42" s="88"/>
      <c r="AH42" s="67"/>
      <c r="AI42" s="12"/>
      <c r="AJ42" s="12"/>
    </row>
    <row r="43" spans="1:36" s="7" customFormat="1" ht="15" customHeight="1">
      <c r="A43" s="12"/>
      <c r="B43" s="9">
        <v>38</v>
      </c>
      <c r="C43" s="4">
        <v>2</v>
      </c>
      <c r="D43" s="5" t="s">
        <v>67</v>
      </c>
      <c r="E43" s="22"/>
      <c r="F43" s="170">
        <v>0.19</v>
      </c>
      <c r="G43" s="35" t="s">
        <v>61</v>
      </c>
      <c r="H43" s="27">
        <v>30</v>
      </c>
      <c r="I43" s="28">
        <v>0.2443</v>
      </c>
      <c r="J43" s="36">
        <v>100</v>
      </c>
      <c r="K43" s="28">
        <v>0.2323</v>
      </c>
      <c r="L43" s="37">
        <v>1000</v>
      </c>
      <c r="M43" s="28">
        <v>0.2198</v>
      </c>
      <c r="N43" s="38">
        <f>L43</f>
        <v>1000</v>
      </c>
      <c r="O43" s="34">
        <v>0.1833</v>
      </c>
      <c r="P43" s="38"/>
      <c r="Q43" s="34">
        <v>0.1794</v>
      </c>
      <c r="R43" s="73"/>
      <c r="S43" s="74"/>
      <c r="T43" s="74"/>
      <c r="U43" s="75"/>
      <c r="V43" s="66"/>
      <c r="W43" s="34">
        <v>0.1638</v>
      </c>
      <c r="X43" s="66"/>
      <c r="Y43" s="34">
        <v>0.12</v>
      </c>
      <c r="Z43" s="94" t="s">
        <v>109</v>
      </c>
      <c r="AA43" s="95">
        <v>500</v>
      </c>
      <c r="AB43" s="73"/>
      <c r="AC43" s="88"/>
      <c r="AD43" s="73"/>
      <c r="AE43" s="88"/>
      <c r="AF43" s="73"/>
      <c r="AG43" s="88"/>
      <c r="AH43" s="67"/>
      <c r="AI43" s="12"/>
      <c r="AJ43" s="12"/>
    </row>
    <row r="44" spans="1:36" s="7" customFormat="1" ht="15" customHeight="1" thickBot="1">
      <c r="A44" s="12"/>
      <c r="B44" s="56">
        <v>39</v>
      </c>
      <c r="C44" s="245">
        <v>2</v>
      </c>
      <c r="D44" s="45" t="s">
        <v>68</v>
      </c>
      <c r="E44" s="46"/>
      <c r="F44" s="171">
        <v>0.19</v>
      </c>
      <c r="G44" s="47" t="s">
        <v>61</v>
      </c>
      <c r="H44" s="48">
        <v>30</v>
      </c>
      <c r="I44" s="49">
        <v>0.2443</v>
      </c>
      <c r="J44" s="50">
        <v>100</v>
      </c>
      <c r="K44" s="49">
        <v>0.2323</v>
      </c>
      <c r="L44" s="51">
        <v>1000</v>
      </c>
      <c r="M44" s="49">
        <v>0.2198</v>
      </c>
      <c r="N44" s="52">
        <f>L44</f>
        <v>1000</v>
      </c>
      <c r="O44" s="53">
        <v>0.1833</v>
      </c>
      <c r="P44" s="52"/>
      <c r="Q44" s="53">
        <v>0.1794</v>
      </c>
      <c r="R44" s="76"/>
      <c r="S44" s="77"/>
      <c r="T44" s="77"/>
      <c r="U44" s="78"/>
      <c r="V44" s="68"/>
      <c r="W44" s="53">
        <v>0.1638</v>
      </c>
      <c r="X44" s="68"/>
      <c r="Y44" s="53">
        <v>0.12</v>
      </c>
      <c r="Z44" s="96" t="s">
        <v>109</v>
      </c>
      <c r="AA44" s="97">
        <v>500</v>
      </c>
      <c r="AB44" s="76"/>
      <c r="AC44" s="89"/>
      <c r="AD44" s="76"/>
      <c r="AE44" s="89"/>
      <c r="AF44" s="76"/>
      <c r="AG44" s="89"/>
      <c r="AH44" s="69"/>
      <c r="AI44" s="12"/>
      <c r="AJ44" s="12"/>
    </row>
    <row r="45" spans="1:36" s="7" customFormat="1" ht="15" customHeight="1" thickTop="1">
      <c r="A45" s="12"/>
      <c r="B45" s="9">
        <v>40</v>
      </c>
      <c r="C45" s="4">
        <v>3</v>
      </c>
      <c r="D45" s="39" t="s">
        <v>11</v>
      </c>
      <c r="E45" s="40"/>
      <c r="F45" s="172">
        <v>0.19</v>
      </c>
      <c r="G45" s="41" t="s">
        <v>61</v>
      </c>
      <c r="H45" s="42">
        <v>10</v>
      </c>
      <c r="I45" s="43">
        <v>0.195</v>
      </c>
      <c r="J45" s="44">
        <v>40</v>
      </c>
      <c r="K45" s="43">
        <v>0.185</v>
      </c>
      <c r="L45" s="492">
        <v>1000</v>
      </c>
      <c r="M45" s="43">
        <v>0.165</v>
      </c>
      <c r="N45" s="493">
        <v>1000</v>
      </c>
      <c r="O45" s="43">
        <v>0.135</v>
      </c>
      <c r="P45" s="493"/>
      <c r="Q45" s="43">
        <v>0.135</v>
      </c>
      <c r="R45" s="1316">
        <v>10000</v>
      </c>
      <c r="S45" s="1317"/>
      <c r="T45" s="1317"/>
      <c r="U45" s="1318"/>
      <c r="V45" s="81"/>
      <c r="W45" s="82"/>
      <c r="X45" s="81"/>
      <c r="Y45" s="82"/>
      <c r="Z45" s="74"/>
      <c r="AA45" s="74"/>
      <c r="AB45" s="66"/>
      <c r="AC45" s="90">
        <v>0</v>
      </c>
      <c r="AD45" s="66"/>
      <c r="AE45" s="90">
        <v>0.1</v>
      </c>
      <c r="AF45" s="66"/>
      <c r="AG45" s="90">
        <v>0</v>
      </c>
      <c r="AH45" s="67"/>
      <c r="AI45" s="12"/>
      <c r="AJ45" s="12"/>
    </row>
    <row r="46" spans="1:36" s="7" customFormat="1" ht="15" customHeight="1">
      <c r="A46" s="12"/>
      <c r="B46" s="9">
        <v>41</v>
      </c>
      <c r="C46" s="4">
        <v>3</v>
      </c>
      <c r="D46" s="5" t="s">
        <v>8</v>
      </c>
      <c r="E46" s="22"/>
      <c r="F46" s="170">
        <v>0.19</v>
      </c>
      <c r="G46" s="35" t="s">
        <v>61</v>
      </c>
      <c r="H46" s="29">
        <v>10</v>
      </c>
      <c r="I46" s="28">
        <v>0.1931</v>
      </c>
      <c r="J46" s="44">
        <v>40</v>
      </c>
      <c r="K46" s="28">
        <v>0.1832</v>
      </c>
      <c r="L46" s="492">
        <v>1000</v>
      </c>
      <c r="M46" s="28">
        <v>0.1634</v>
      </c>
      <c r="N46" s="493">
        <v>1000</v>
      </c>
      <c r="O46" s="28">
        <v>0.1337</v>
      </c>
      <c r="P46" s="493"/>
      <c r="Q46" s="28">
        <v>0.1337</v>
      </c>
      <c r="R46" s="1311">
        <v>10000</v>
      </c>
      <c r="S46" s="1312"/>
      <c r="T46" s="1312"/>
      <c r="U46" s="1313"/>
      <c r="V46" s="73"/>
      <c r="W46" s="75"/>
      <c r="X46" s="73"/>
      <c r="Y46" s="75"/>
      <c r="Z46" s="74"/>
      <c r="AA46" s="74"/>
      <c r="AB46" s="66"/>
      <c r="AC46" s="90">
        <v>0</v>
      </c>
      <c r="AD46" s="66"/>
      <c r="AE46" s="90">
        <v>0.1</v>
      </c>
      <c r="AF46" s="66"/>
      <c r="AG46" s="90">
        <v>0</v>
      </c>
      <c r="AH46" s="67"/>
      <c r="AI46" s="12"/>
      <c r="AJ46" s="12"/>
    </row>
    <row r="47" spans="1:36" s="7" customFormat="1" ht="15" customHeight="1">
      <c r="A47" s="12"/>
      <c r="B47" s="9">
        <v>42</v>
      </c>
      <c r="C47" s="4">
        <v>3</v>
      </c>
      <c r="D47" s="5" t="s">
        <v>12</v>
      </c>
      <c r="E47" s="22"/>
      <c r="F47" s="170">
        <v>0.19</v>
      </c>
      <c r="G47" s="35" t="s">
        <v>61</v>
      </c>
      <c r="H47" s="29">
        <v>10</v>
      </c>
      <c r="I47" s="28">
        <v>0.1911</v>
      </c>
      <c r="J47" s="44">
        <v>40</v>
      </c>
      <c r="K47" s="28">
        <v>0.1813</v>
      </c>
      <c r="L47" s="492">
        <v>1000</v>
      </c>
      <c r="M47" s="28">
        <v>0.1617</v>
      </c>
      <c r="N47" s="493">
        <v>1000</v>
      </c>
      <c r="O47" s="28">
        <v>0.1323</v>
      </c>
      <c r="P47" s="493"/>
      <c r="Q47" s="28">
        <v>0.1323</v>
      </c>
      <c r="R47" s="1311">
        <v>10000</v>
      </c>
      <c r="S47" s="1312"/>
      <c r="T47" s="1312"/>
      <c r="U47" s="1313"/>
      <c r="V47" s="73"/>
      <c r="W47" s="75"/>
      <c r="X47" s="73"/>
      <c r="Y47" s="75"/>
      <c r="Z47" s="74"/>
      <c r="AA47" s="74"/>
      <c r="AB47" s="66"/>
      <c r="AC47" s="90">
        <v>0</v>
      </c>
      <c r="AD47" s="66"/>
      <c r="AE47" s="90">
        <v>0.1</v>
      </c>
      <c r="AF47" s="66"/>
      <c r="AG47" s="90">
        <v>0</v>
      </c>
      <c r="AH47" s="67"/>
      <c r="AI47" s="12"/>
      <c r="AJ47" s="12"/>
    </row>
    <row r="48" spans="1:36" s="7" customFormat="1" ht="15" customHeight="1">
      <c r="A48" s="12"/>
      <c r="B48" s="9">
        <v>43</v>
      </c>
      <c r="C48" s="4">
        <v>3</v>
      </c>
      <c r="D48" s="5" t="s">
        <v>13</v>
      </c>
      <c r="E48" s="22"/>
      <c r="F48" s="170">
        <v>0.19</v>
      </c>
      <c r="G48" s="35" t="s">
        <v>61</v>
      </c>
      <c r="H48" s="29">
        <v>10</v>
      </c>
      <c r="I48" s="28">
        <v>0.1892</v>
      </c>
      <c r="J48" s="44">
        <v>40</v>
      </c>
      <c r="K48" s="28">
        <v>0.1795</v>
      </c>
      <c r="L48" s="492">
        <v>1000</v>
      </c>
      <c r="M48" s="28">
        <v>0.1601</v>
      </c>
      <c r="N48" s="493">
        <v>1000</v>
      </c>
      <c r="O48" s="28">
        <v>0.131</v>
      </c>
      <c r="P48" s="493"/>
      <c r="Q48" s="28">
        <v>0.131</v>
      </c>
      <c r="R48" s="1311">
        <v>10000</v>
      </c>
      <c r="S48" s="1312"/>
      <c r="T48" s="1312"/>
      <c r="U48" s="1313"/>
      <c r="V48" s="73"/>
      <c r="W48" s="75"/>
      <c r="X48" s="73"/>
      <c r="Y48" s="75"/>
      <c r="Z48" s="74"/>
      <c r="AA48" s="74"/>
      <c r="AB48" s="66"/>
      <c r="AC48" s="90">
        <v>0</v>
      </c>
      <c r="AD48" s="66"/>
      <c r="AE48" s="90">
        <v>0.1</v>
      </c>
      <c r="AF48" s="66"/>
      <c r="AG48" s="90">
        <v>0</v>
      </c>
      <c r="AH48" s="67"/>
      <c r="AI48" s="12"/>
      <c r="AJ48" s="12"/>
    </row>
    <row r="49" spans="1:36" s="7" customFormat="1" ht="15" customHeight="1">
      <c r="A49" s="12"/>
      <c r="B49" s="9">
        <v>44</v>
      </c>
      <c r="C49" s="4">
        <v>3</v>
      </c>
      <c r="D49" s="5" t="s">
        <v>14</v>
      </c>
      <c r="E49" s="22"/>
      <c r="F49" s="170">
        <v>0.19</v>
      </c>
      <c r="G49" s="35" t="s">
        <v>61</v>
      </c>
      <c r="H49" s="29">
        <v>10</v>
      </c>
      <c r="I49" s="28">
        <v>0.1873</v>
      </c>
      <c r="J49" s="44">
        <v>40</v>
      </c>
      <c r="K49" s="28">
        <v>0.1777</v>
      </c>
      <c r="L49" s="492">
        <v>1000</v>
      </c>
      <c r="M49" s="28">
        <v>0.1585</v>
      </c>
      <c r="N49" s="493">
        <v>1000</v>
      </c>
      <c r="O49" s="28">
        <v>0.1297</v>
      </c>
      <c r="P49" s="493"/>
      <c r="Q49" s="28">
        <v>0.1297</v>
      </c>
      <c r="R49" s="1311">
        <v>10000</v>
      </c>
      <c r="S49" s="1312"/>
      <c r="T49" s="1312"/>
      <c r="U49" s="1313"/>
      <c r="V49" s="73"/>
      <c r="W49" s="75"/>
      <c r="X49" s="73"/>
      <c r="Y49" s="75"/>
      <c r="Z49" s="74"/>
      <c r="AA49" s="74"/>
      <c r="AB49" s="66"/>
      <c r="AC49" s="90">
        <v>0</v>
      </c>
      <c r="AD49" s="66"/>
      <c r="AE49" s="90">
        <v>0.1</v>
      </c>
      <c r="AF49" s="66"/>
      <c r="AG49" s="90">
        <v>0</v>
      </c>
      <c r="AH49" s="67"/>
      <c r="AI49" s="12"/>
      <c r="AJ49" s="12"/>
    </row>
    <row r="50" spans="1:36" s="7" customFormat="1" ht="15" customHeight="1">
      <c r="A50" s="12"/>
      <c r="B50" s="9">
        <v>45</v>
      </c>
      <c r="C50" s="4">
        <v>3</v>
      </c>
      <c r="D50" s="5" t="s">
        <v>16</v>
      </c>
      <c r="E50" s="22"/>
      <c r="F50" s="170">
        <v>0.19</v>
      </c>
      <c r="G50" s="35" t="s">
        <v>61</v>
      </c>
      <c r="H50" s="29">
        <v>10</v>
      </c>
      <c r="I50" s="28">
        <v>0.1854</v>
      </c>
      <c r="J50" s="44">
        <v>40</v>
      </c>
      <c r="K50" s="28">
        <v>0.1759</v>
      </c>
      <c r="L50" s="492">
        <v>1000</v>
      </c>
      <c r="M50" s="28">
        <v>0.1569</v>
      </c>
      <c r="N50" s="493">
        <v>1000</v>
      </c>
      <c r="O50" s="28">
        <v>0.1284</v>
      </c>
      <c r="P50" s="493"/>
      <c r="Q50" s="28">
        <v>0.1284</v>
      </c>
      <c r="R50" s="1311">
        <v>10000</v>
      </c>
      <c r="S50" s="1312"/>
      <c r="T50" s="1312"/>
      <c r="U50" s="1313"/>
      <c r="V50" s="73"/>
      <c r="W50" s="75"/>
      <c r="X50" s="73"/>
      <c r="Y50" s="75"/>
      <c r="Z50" s="74"/>
      <c r="AA50" s="74"/>
      <c r="AB50" s="66"/>
      <c r="AC50" s="90">
        <v>0</v>
      </c>
      <c r="AD50" s="66"/>
      <c r="AE50" s="90">
        <v>0.1</v>
      </c>
      <c r="AF50" s="66"/>
      <c r="AG50" s="90">
        <v>0</v>
      </c>
      <c r="AH50" s="67"/>
      <c r="AI50" s="12"/>
      <c r="AJ50" s="12"/>
    </row>
    <row r="51" spans="1:36" s="7" customFormat="1" ht="15" customHeight="1">
      <c r="A51" s="12"/>
      <c r="B51" s="9">
        <v>46</v>
      </c>
      <c r="C51" s="4">
        <v>3</v>
      </c>
      <c r="D51" s="5" t="s">
        <v>15</v>
      </c>
      <c r="E51" s="22"/>
      <c r="F51" s="170">
        <v>0.19</v>
      </c>
      <c r="G51" s="35" t="s">
        <v>61</v>
      </c>
      <c r="H51" s="29">
        <v>10</v>
      </c>
      <c r="I51" s="28">
        <v>0.1836</v>
      </c>
      <c r="J51" s="44">
        <v>40</v>
      </c>
      <c r="K51" s="28">
        <v>0.1742</v>
      </c>
      <c r="L51" s="492">
        <v>1000</v>
      </c>
      <c r="M51" s="28">
        <v>0.1553</v>
      </c>
      <c r="N51" s="493">
        <v>1000</v>
      </c>
      <c r="O51" s="28">
        <v>0.1271</v>
      </c>
      <c r="P51" s="493"/>
      <c r="Q51" s="28">
        <v>0.1271</v>
      </c>
      <c r="R51" s="1311">
        <v>10000</v>
      </c>
      <c r="S51" s="1312"/>
      <c r="T51" s="1312"/>
      <c r="U51" s="1313"/>
      <c r="V51" s="73"/>
      <c r="W51" s="75"/>
      <c r="X51" s="73"/>
      <c r="Y51" s="75"/>
      <c r="Z51" s="74"/>
      <c r="AA51" s="74"/>
      <c r="AB51" s="66"/>
      <c r="AC51" s="90">
        <v>0</v>
      </c>
      <c r="AD51" s="66"/>
      <c r="AE51" s="90">
        <v>0.1</v>
      </c>
      <c r="AF51" s="66"/>
      <c r="AG51" s="90">
        <v>0</v>
      </c>
      <c r="AH51" s="67"/>
      <c r="AI51" s="12"/>
      <c r="AJ51" s="12"/>
    </row>
    <row r="52" spans="1:36" s="7" customFormat="1" ht="15" customHeight="1">
      <c r="A52" s="12"/>
      <c r="B52" s="9">
        <v>47</v>
      </c>
      <c r="C52" s="4">
        <v>3</v>
      </c>
      <c r="D52" s="5" t="s">
        <v>25</v>
      </c>
      <c r="E52" s="22"/>
      <c r="F52" s="170">
        <v>0.19</v>
      </c>
      <c r="G52" s="35" t="s">
        <v>61</v>
      </c>
      <c r="H52" s="29">
        <v>10</v>
      </c>
      <c r="I52" s="28">
        <v>0.179</v>
      </c>
      <c r="J52" s="44">
        <v>40</v>
      </c>
      <c r="K52" s="28">
        <v>0.1698</v>
      </c>
      <c r="L52" s="492">
        <v>1000</v>
      </c>
      <c r="M52" s="28">
        <v>0.1515</v>
      </c>
      <c r="N52" s="493">
        <v>1000</v>
      </c>
      <c r="O52" s="28">
        <v>0.1239</v>
      </c>
      <c r="P52" s="493"/>
      <c r="Q52" s="28">
        <v>0.1239</v>
      </c>
      <c r="R52" s="1311">
        <v>10000</v>
      </c>
      <c r="S52" s="1312"/>
      <c r="T52" s="1312"/>
      <c r="U52" s="1313"/>
      <c r="V52" s="73"/>
      <c r="W52" s="75"/>
      <c r="X52" s="73"/>
      <c r="Y52" s="75"/>
      <c r="Z52" s="74"/>
      <c r="AA52" s="74"/>
      <c r="AB52" s="66"/>
      <c r="AC52" s="90">
        <v>0</v>
      </c>
      <c r="AD52" s="66"/>
      <c r="AE52" s="90">
        <v>0.1</v>
      </c>
      <c r="AF52" s="66"/>
      <c r="AG52" s="90">
        <v>0</v>
      </c>
      <c r="AH52" s="67"/>
      <c r="AI52" s="12"/>
      <c r="AJ52" s="12"/>
    </row>
    <row r="53" spans="1:36" s="7" customFormat="1" ht="15" customHeight="1">
      <c r="A53" s="12"/>
      <c r="B53" s="9">
        <v>48</v>
      </c>
      <c r="C53" s="4">
        <v>3</v>
      </c>
      <c r="D53" s="5" t="s">
        <v>17</v>
      </c>
      <c r="E53" s="22"/>
      <c r="F53" s="170">
        <v>0.19</v>
      </c>
      <c r="G53" s="35" t="s">
        <v>61</v>
      </c>
      <c r="H53" s="29">
        <v>10</v>
      </c>
      <c r="I53" s="28">
        <v>0.1745</v>
      </c>
      <c r="J53" s="44">
        <v>40</v>
      </c>
      <c r="K53" s="28">
        <v>0.1656</v>
      </c>
      <c r="L53" s="492">
        <v>1000</v>
      </c>
      <c r="M53" s="28">
        <v>0.1477</v>
      </c>
      <c r="N53" s="493">
        <v>1000</v>
      </c>
      <c r="O53" s="28">
        <v>0.1208</v>
      </c>
      <c r="P53" s="493"/>
      <c r="Q53" s="28">
        <v>0.1208</v>
      </c>
      <c r="R53" s="1311">
        <v>10000</v>
      </c>
      <c r="S53" s="1312"/>
      <c r="T53" s="1312"/>
      <c r="U53" s="1313"/>
      <c r="V53" s="73"/>
      <c r="W53" s="75"/>
      <c r="X53" s="73"/>
      <c r="Y53" s="75"/>
      <c r="Z53" s="74"/>
      <c r="AA53" s="74"/>
      <c r="AB53" s="66"/>
      <c r="AC53" s="90">
        <v>0</v>
      </c>
      <c r="AD53" s="66"/>
      <c r="AE53" s="90">
        <v>0.1</v>
      </c>
      <c r="AF53" s="66"/>
      <c r="AG53" s="90">
        <v>0</v>
      </c>
      <c r="AH53" s="67"/>
      <c r="AI53" s="12"/>
      <c r="AJ53" s="12"/>
    </row>
    <row r="54" spans="1:36" s="7" customFormat="1" ht="15" customHeight="1">
      <c r="A54" s="12"/>
      <c r="B54" s="9">
        <v>49</v>
      </c>
      <c r="C54" s="4">
        <v>3</v>
      </c>
      <c r="D54" s="5" t="s">
        <v>19</v>
      </c>
      <c r="E54" s="22"/>
      <c r="F54" s="170">
        <v>0.19</v>
      </c>
      <c r="G54" s="35" t="s">
        <v>61</v>
      </c>
      <c r="H54" s="29">
        <v>10</v>
      </c>
      <c r="I54" s="28">
        <v>0.1702</v>
      </c>
      <c r="J54" s="44">
        <v>40</v>
      </c>
      <c r="K54" s="28">
        <v>0.1614</v>
      </c>
      <c r="L54" s="492">
        <v>1000</v>
      </c>
      <c r="M54" s="28">
        <v>0.144</v>
      </c>
      <c r="N54" s="493">
        <v>1000</v>
      </c>
      <c r="O54" s="28">
        <v>0.1178</v>
      </c>
      <c r="P54" s="493"/>
      <c r="Q54" s="28">
        <v>0.1178</v>
      </c>
      <c r="R54" s="1311">
        <v>10000</v>
      </c>
      <c r="S54" s="1312"/>
      <c r="T54" s="1312"/>
      <c r="U54" s="1313"/>
      <c r="V54" s="73"/>
      <c r="W54" s="75"/>
      <c r="X54" s="73"/>
      <c r="Y54" s="75"/>
      <c r="Z54" s="74"/>
      <c r="AA54" s="74"/>
      <c r="AB54" s="66"/>
      <c r="AC54" s="90">
        <v>0</v>
      </c>
      <c r="AD54" s="66"/>
      <c r="AE54" s="90">
        <v>0.1</v>
      </c>
      <c r="AF54" s="66"/>
      <c r="AG54" s="90">
        <v>0</v>
      </c>
      <c r="AH54" s="67"/>
      <c r="AI54" s="12"/>
      <c r="AJ54" s="12"/>
    </row>
    <row r="55" spans="1:36" s="7" customFormat="1" ht="15" customHeight="1">
      <c r="A55" s="12"/>
      <c r="B55" s="9">
        <v>50</v>
      </c>
      <c r="C55" s="4">
        <v>3</v>
      </c>
      <c r="D55" s="5" t="s">
        <v>537</v>
      </c>
      <c r="E55" s="22"/>
      <c r="F55" s="170">
        <v>0.19</v>
      </c>
      <c r="G55" s="35" t="s">
        <v>61</v>
      </c>
      <c r="H55" s="29">
        <v>10</v>
      </c>
      <c r="I55" s="28">
        <v>0.1664</v>
      </c>
      <c r="J55" s="44">
        <v>40</v>
      </c>
      <c r="K55" s="28">
        <v>0.1579</v>
      </c>
      <c r="L55" s="492">
        <v>1000</v>
      </c>
      <c r="M55" s="28">
        <v>0.1408</v>
      </c>
      <c r="N55" s="493">
        <v>1000</v>
      </c>
      <c r="O55" s="28">
        <v>0.1152</v>
      </c>
      <c r="P55" s="493"/>
      <c r="Q55" s="28">
        <v>0.1152</v>
      </c>
      <c r="R55" s="1311">
        <v>10000</v>
      </c>
      <c r="S55" s="1312"/>
      <c r="T55" s="1312"/>
      <c r="U55" s="1313"/>
      <c r="V55" s="73"/>
      <c r="W55" s="75"/>
      <c r="X55" s="73"/>
      <c r="Y55" s="75"/>
      <c r="Z55" s="74"/>
      <c r="AA55" s="74"/>
      <c r="AB55" s="66"/>
      <c r="AC55" s="90">
        <v>0</v>
      </c>
      <c r="AD55" s="66"/>
      <c r="AE55" s="90">
        <v>0.1</v>
      </c>
      <c r="AF55" s="66"/>
      <c r="AG55" s="90">
        <v>0</v>
      </c>
      <c r="AH55" s="67"/>
      <c r="AI55" s="12"/>
      <c r="AJ55" s="12"/>
    </row>
    <row r="56" spans="1:36" s="7" customFormat="1" ht="15" customHeight="1">
      <c r="A56" s="12"/>
      <c r="B56" s="9">
        <v>51</v>
      </c>
      <c r="C56" s="4">
        <v>3</v>
      </c>
      <c r="D56" s="5" t="s">
        <v>20</v>
      </c>
      <c r="E56" s="22"/>
      <c r="F56" s="170">
        <v>0.19</v>
      </c>
      <c r="G56" s="35" t="s">
        <v>61</v>
      </c>
      <c r="H56" s="29">
        <v>10</v>
      </c>
      <c r="I56" s="28">
        <v>0.1628</v>
      </c>
      <c r="J56" s="44">
        <v>40</v>
      </c>
      <c r="K56" s="28">
        <v>0.1544</v>
      </c>
      <c r="L56" s="492">
        <v>1000</v>
      </c>
      <c r="M56" s="28">
        <v>0.1377</v>
      </c>
      <c r="N56" s="493">
        <v>1000</v>
      </c>
      <c r="O56" s="28">
        <v>0.1127</v>
      </c>
      <c r="P56" s="493"/>
      <c r="Q56" s="28">
        <v>0.1127</v>
      </c>
      <c r="R56" s="1311">
        <v>10000</v>
      </c>
      <c r="S56" s="1312"/>
      <c r="T56" s="1312"/>
      <c r="U56" s="1313"/>
      <c r="V56" s="73"/>
      <c r="W56" s="75"/>
      <c r="X56" s="73"/>
      <c r="Y56" s="75"/>
      <c r="Z56" s="74"/>
      <c r="AA56" s="74"/>
      <c r="AB56" s="66"/>
      <c r="AC56" s="90">
        <v>0</v>
      </c>
      <c r="AD56" s="66"/>
      <c r="AE56" s="90">
        <v>0.1</v>
      </c>
      <c r="AF56" s="66"/>
      <c r="AG56" s="90">
        <v>0</v>
      </c>
      <c r="AH56" s="67"/>
      <c r="AI56" s="12"/>
      <c r="AJ56" s="12"/>
    </row>
    <row r="57" spans="1:36" s="7" customFormat="1" ht="15" customHeight="1">
      <c r="A57" s="12"/>
      <c r="B57" s="9">
        <v>52</v>
      </c>
      <c r="C57" s="4">
        <v>3</v>
      </c>
      <c r="D57" s="5" t="s">
        <v>18</v>
      </c>
      <c r="E57" s="22"/>
      <c r="F57" s="170">
        <v>0.19</v>
      </c>
      <c r="G57" s="35" t="s">
        <v>61</v>
      </c>
      <c r="H57" s="29">
        <v>10</v>
      </c>
      <c r="I57" s="28">
        <v>0.1592</v>
      </c>
      <c r="J57" s="44">
        <v>40</v>
      </c>
      <c r="K57" s="28">
        <v>0.151</v>
      </c>
      <c r="L57" s="492">
        <v>1000</v>
      </c>
      <c r="M57" s="28">
        <v>0.1347</v>
      </c>
      <c r="N57" s="493">
        <v>1000</v>
      </c>
      <c r="O57" s="28">
        <v>0.1102</v>
      </c>
      <c r="P57" s="493"/>
      <c r="Q57" s="28">
        <v>0.1102</v>
      </c>
      <c r="R57" s="1311">
        <v>10000</v>
      </c>
      <c r="S57" s="1312"/>
      <c r="T57" s="1312"/>
      <c r="U57" s="1313"/>
      <c r="V57" s="73"/>
      <c r="W57" s="75"/>
      <c r="X57" s="73"/>
      <c r="Y57" s="75"/>
      <c r="Z57" s="74"/>
      <c r="AA57" s="74"/>
      <c r="AB57" s="66"/>
      <c r="AC57" s="90">
        <v>0</v>
      </c>
      <c r="AD57" s="66"/>
      <c r="AE57" s="90">
        <v>0.1</v>
      </c>
      <c r="AF57" s="66"/>
      <c r="AG57" s="90">
        <v>0</v>
      </c>
      <c r="AH57" s="67"/>
      <c r="AI57" s="12"/>
      <c r="AJ57" s="12"/>
    </row>
    <row r="58" spans="1:36" s="7" customFormat="1" ht="15" customHeight="1">
      <c r="A58" s="12"/>
      <c r="B58" s="9">
        <v>53</v>
      </c>
      <c r="C58" s="4">
        <v>3</v>
      </c>
      <c r="D58" s="5" t="s">
        <v>538</v>
      </c>
      <c r="E58" s="22"/>
      <c r="F58" s="170">
        <v>0.19</v>
      </c>
      <c r="G58" s="35" t="s">
        <v>61</v>
      </c>
      <c r="H58" s="29">
        <v>10</v>
      </c>
      <c r="I58" s="28">
        <v>0.1563</v>
      </c>
      <c r="J58" s="44">
        <v>40</v>
      </c>
      <c r="K58" s="28">
        <v>0.1483</v>
      </c>
      <c r="L58" s="492">
        <v>1000</v>
      </c>
      <c r="M58" s="28">
        <v>0.1323</v>
      </c>
      <c r="N58" s="493">
        <v>1000</v>
      </c>
      <c r="O58" s="28">
        <v>0.1082</v>
      </c>
      <c r="P58" s="493"/>
      <c r="Q58" s="28">
        <v>0.1082</v>
      </c>
      <c r="R58" s="1311">
        <v>10000</v>
      </c>
      <c r="S58" s="1312"/>
      <c r="T58" s="1312"/>
      <c r="U58" s="1313"/>
      <c r="V58" s="73"/>
      <c r="W58" s="75"/>
      <c r="X58" s="73"/>
      <c r="Y58" s="75"/>
      <c r="Z58" s="74"/>
      <c r="AA58" s="74"/>
      <c r="AB58" s="66"/>
      <c r="AC58" s="90">
        <v>0</v>
      </c>
      <c r="AD58" s="66"/>
      <c r="AE58" s="90">
        <v>0.1</v>
      </c>
      <c r="AF58" s="66"/>
      <c r="AG58" s="90">
        <v>0</v>
      </c>
      <c r="AH58" s="67"/>
      <c r="AI58" s="12"/>
      <c r="AJ58" s="12"/>
    </row>
    <row r="59" spans="1:36" s="7" customFormat="1" ht="15" customHeight="1">
      <c r="A59" s="12"/>
      <c r="B59" s="9">
        <v>54</v>
      </c>
      <c r="C59" s="4">
        <v>3</v>
      </c>
      <c r="D59" s="5" t="s">
        <v>21</v>
      </c>
      <c r="E59" s="22"/>
      <c r="F59" s="170">
        <v>0.19</v>
      </c>
      <c r="G59" s="35" t="s">
        <v>61</v>
      </c>
      <c r="H59" s="29">
        <v>10</v>
      </c>
      <c r="I59" s="28">
        <v>0.1535</v>
      </c>
      <c r="J59" s="44">
        <v>40</v>
      </c>
      <c r="K59" s="28">
        <v>0.1456</v>
      </c>
      <c r="L59" s="492">
        <v>1000</v>
      </c>
      <c r="M59" s="28">
        <v>0.1299</v>
      </c>
      <c r="N59" s="493">
        <v>1000</v>
      </c>
      <c r="O59" s="28">
        <v>0.1063</v>
      </c>
      <c r="P59" s="493"/>
      <c r="Q59" s="28">
        <v>0.1063</v>
      </c>
      <c r="R59" s="1311">
        <v>10000</v>
      </c>
      <c r="S59" s="1312"/>
      <c r="T59" s="1312"/>
      <c r="U59" s="1313"/>
      <c r="V59" s="73"/>
      <c r="W59" s="75"/>
      <c r="X59" s="73"/>
      <c r="Y59" s="75"/>
      <c r="Z59" s="74"/>
      <c r="AA59" s="74"/>
      <c r="AB59" s="66"/>
      <c r="AC59" s="90">
        <v>0</v>
      </c>
      <c r="AD59" s="66"/>
      <c r="AE59" s="90">
        <v>0.1</v>
      </c>
      <c r="AF59" s="66"/>
      <c r="AG59" s="90">
        <v>0</v>
      </c>
      <c r="AH59" s="67"/>
      <c r="AI59" s="12"/>
      <c r="AJ59" s="12"/>
    </row>
    <row r="60" spans="1:36" s="7" customFormat="1" ht="15" customHeight="1">
      <c r="A60" s="12"/>
      <c r="B60" s="9">
        <v>55</v>
      </c>
      <c r="C60" s="4">
        <v>3</v>
      </c>
      <c r="D60" s="5" t="s">
        <v>22</v>
      </c>
      <c r="E60" s="22"/>
      <c r="F60" s="170">
        <v>0.19</v>
      </c>
      <c r="G60" s="35" t="s">
        <v>61</v>
      </c>
      <c r="H60" s="29">
        <v>10</v>
      </c>
      <c r="I60" s="28">
        <v>0.1507</v>
      </c>
      <c r="J60" s="44">
        <v>40</v>
      </c>
      <c r="K60" s="28">
        <v>0.143</v>
      </c>
      <c r="L60" s="492">
        <v>1000</v>
      </c>
      <c r="M60" s="28">
        <v>0.1275</v>
      </c>
      <c r="N60" s="493">
        <v>1000</v>
      </c>
      <c r="O60" s="28">
        <v>0.1044</v>
      </c>
      <c r="P60" s="493"/>
      <c r="Q60" s="28">
        <v>0.1044</v>
      </c>
      <c r="R60" s="1311">
        <v>10000</v>
      </c>
      <c r="S60" s="1312"/>
      <c r="T60" s="1312"/>
      <c r="U60" s="1313"/>
      <c r="V60" s="73"/>
      <c r="W60" s="75"/>
      <c r="X60" s="73"/>
      <c r="Y60" s="75"/>
      <c r="Z60" s="74"/>
      <c r="AA60" s="74"/>
      <c r="AB60" s="66"/>
      <c r="AC60" s="90">
        <v>0</v>
      </c>
      <c r="AD60" s="66"/>
      <c r="AE60" s="90">
        <v>0.1</v>
      </c>
      <c r="AF60" s="66"/>
      <c r="AG60" s="90">
        <v>0</v>
      </c>
      <c r="AH60" s="67"/>
      <c r="AI60" s="12"/>
      <c r="AJ60" s="12"/>
    </row>
    <row r="61" spans="1:36" s="7" customFormat="1" ht="15" customHeight="1">
      <c r="A61" s="12"/>
      <c r="B61" s="9">
        <v>56</v>
      </c>
      <c r="C61" s="4">
        <v>3</v>
      </c>
      <c r="D61" s="5" t="s">
        <v>539</v>
      </c>
      <c r="E61" s="22"/>
      <c r="F61" s="170">
        <v>0.19</v>
      </c>
      <c r="G61" s="35" t="s">
        <v>61</v>
      </c>
      <c r="H61" s="29">
        <v>10</v>
      </c>
      <c r="I61" s="28">
        <v>0.148</v>
      </c>
      <c r="J61" s="44">
        <v>40</v>
      </c>
      <c r="K61" s="28">
        <v>0.1404</v>
      </c>
      <c r="L61" s="492">
        <v>1000</v>
      </c>
      <c r="M61" s="28">
        <v>0.1252</v>
      </c>
      <c r="N61" s="493">
        <v>1000</v>
      </c>
      <c r="O61" s="28">
        <v>0.1025</v>
      </c>
      <c r="P61" s="493"/>
      <c r="Q61" s="28">
        <v>0.1025</v>
      </c>
      <c r="R61" s="1311">
        <v>10000</v>
      </c>
      <c r="S61" s="1312"/>
      <c r="T61" s="1312"/>
      <c r="U61" s="1313"/>
      <c r="V61" s="73"/>
      <c r="W61" s="75"/>
      <c r="X61" s="73"/>
      <c r="Y61" s="75"/>
      <c r="Z61" s="74"/>
      <c r="AA61" s="74"/>
      <c r="AB61" s="66"/>
      <c r="AC61" s="90">
        <v>0</v>
      </c>
      <c r="AD61" s="66"/>
      <c r="AE61" s="90">
        <v>0.1</v>
      </c>
      <c r="AF61" s="66"/>
      <c r="AG61" s="90">
        <v>0</v>
      </c>
      <c r="AH61" s="67"/>
      <c r="AI61" s="12"/>
      <c r="AJ61" s="12"/>
    </row>
    <row r="62" spans="1:36" s="7" customFormat="1" ht="15" customHeight="1">
      <c r="A62" s="12"/>
      <c r="B62" s="9">
        <v>57</v>
      </c>
      <c r="C62" s="4">
        <v>3</v>
      </c>
      <c r="D62" s="5" t="s">
        <v>23</v>
      </c>
      <c r="E62" s="22"/>
      <c r="F62" s="170">
        <v>0.19</v>
      </c>
      <c r="G62" s="35" t="s">
        <v>61</v>
      </c>
      <c r="H62" s="29">
        <v>10</v>
      </c>
      <c r="I62" s="28">
        <v>0.1454</v>
      </c>
      <c r="J62" s="44">
        <v>40</v>
      </c>
      <c r="K62" s="28">
        <v>0.1379</v>
      </c>
      <c r="L62" s="492">
        <v>1000</v>
      </c>
      <c r="M62" s="28">
        <v>0.123</v>
      </c>
      <c r="N62" s="493">
        <v>1000</v>
      </c>
      <c r="O62" s="28">
        <v>0.1006</v>
      </c>
      <c r="P62" s="493"/>
      <c r="Q62" s="28">
        <v>0.1006</v>
      </c>
      <c r="R62" s="1311">
        <v>10000</v>
      </c>
      <c r="S62" s="1312"/>
      <c r="T62" s="1312"/>
      <c r="U62" s="1313"/>
      <c r="V62" s="73"/>
      <c r="W62" s="75"/>
      <c r="X62" s="73"/>
      <c r="Y62" s="75"/>
      <c r="Z62" s="74"/>
      <c r="AA62" s="74"/>
      <c r="AB62" s="66"/>
      <c r="AC62" s="90">
        <v>0</v>
      </c>
      <c r="AD62" s="66"/>
      <c r="AE62" s="90">
        <v>0.1</v>
      </c>
      <c r="AF62" s="66"/>
      <c r="AG62" s="90">
        <v>0</v>
      </c>
      <c r="AH62" s="67"/>
      <c r="AI62" s="12"/>
      <c r="AJ62" s="12"/>
    </row>
    <row r="63" spans="1:36" s="7" customFormat="1" ht="15" customHeight="1">
      <c r="A63" s="12"/>
      <c r="B63" s="9">
        <v>58</v>
      </c>
      <c r="C63" s="4">
        <v>3</v>
      </c>
      <c r="D63" s="5" t="s">
        <v>24</v>
      </c>
      <c r="E63" s="22"/>
      <c r="F63" s="170">
        <v>0.19</v>
      </c>
      <c r="G63" s="35" t="s">
        <v>61</v>
      </c>
      <c r="H63" s="29">
        <v>10</v>
      </c>
      <c r="I63" s="28">
        <v>0.1427</v>
      </c>
      <c r="J63" s="44">
        <v>40</v>
      </c>
      <c r="K63" s="28">
        <v>0.1354</v>
      </c>
      <c r="L63" s="492">
        <v>1000</v>
      </c>
      <c r="M63" s="28">
        <v>0.1208</v>
      </c>
      <c r="N63" s="493">
        <v>1000</v>
      </c>
      <c r="O63" s="28">
        <v>0.0988</v>
      </c>
      <c r="P63" s="493"/>
      <c r="Q63" s="28">
        <v>0.0988</v>
      </c>
      <c r="R63" s="1311">
        <v>10000</v>
      </c>
      <c r="S63" s="1312"/>
      <c r="T63" s="1312"/>
      <c r="U63" s="1313"/>
      <c r="V63" s="73"/>
      <c r="W63" s="75"/>
      <c r="X63" s="73"/>
      <c r="Y63" s="75"/>
      <c r="Z63" s="74"/>
      <c r="AA63" s="74"/>
      <c r="AB63" s="66"/>
      <c r="AC63" s="90">
        <v>0</v>
      </c>
      <c r="AD63" s="66"/>
      <c r="AE63" s="90">
        <v>0.1</v>
      </c>
      <c r="AF63" s="66"/>
      <c r="AG63" s="90">
        <v>0</v>
      </c>
      <c r="AH63" s="67"/>
      <c r="AI63" s="12"/>
      <c r="AJ63" s="12"/>
    </row>
    <row r="64" spans="1:36" s="7" customFormat="1" ht="15" customHeight="1">
      <c r="A64" s="12"/>
      <c r="B64" s="9">
        <v>59</v>
      </c>
      <c r="C64" s="4">
        <v>3</v>
      </c>
      <c r="D64" s="5" t="s">
        <v>541</v>
      </c>
      <c r="E64" s="22"/>
      <c r="F64" s="170">
        <v>0.19</v>
      </c>
      <c r="G64" s="35" t="s">
        <v>61</v>
      </c>
      <c r="H64" s="29">
        <v>10</v>
      </c>
      <c r="I64" s="28">
        <v>0.1407</v>
      </c>
      <c r="J64" s="44">
        <v>40</v>
      </c>
      <c r="K64" s="28">
        <v>0.1335</v>
      </c>
      <c r="L64" s="492">
        <v>1000</v>
      </c>
      <c r="M64" s="28">
        <v>0.1191</v>
      </c>
      <c r="N64" s="493">
        <v>1000</v>
      </c>
      <c r="O64" s="28">
        <v>0.0974</v>
      </c>
      <c r="P64" s="493"/>
      <c r="Q64" s="28">
        <v>0.0974</v>
      </c>
      <c r="R64" s="1311">
        <v>10000</v>
      </c>
      <c r="S64" s="1312"/>
      <c r="T64" s="1312"/>
      <c r="U64" s="1313"/>
      <c r="V64" s="73"/>
      <c r="W64" s="75"/>
      <c r="X64" s="73"/>
      <c r="Y64" s="75"/>
      <c r="Z64" s="74"/>
      <c r="AA64" s="74"/>
      <c r="AB64" s="66"/>
      <c r="AC64" s="90">
        <v>0</v>
      </c>
      <c r="AD64" s="66"/>
      <c r="AE64" s="90">
        <v>0.1</v>
      </c>
      <c r="AF64" s="66"/>
      <c r="AG64" s="90">
        <v>0</v>
      </c>
      <c r="AH64" s="67"/>
      <c r="AI64" s="12"/>
      <c r="AJ64" s="12"/>
    </row>
    <row r="65" spans="1:36" s="7" customFormat="1" ht="15" customHeight="1">
      <c r="A65" s="12"/>
      <c r="B65" s="9">
        <v>60</v>
      </c>
      <c r="C65" s="4">
        <v>3</v>
      </c>
      <c r="D65" s="5" t="s">
        <v>26</v>
      </c>
      <c r="E65" s="22"/>
      <c r="F65" s="170">
        <v>0.19</v>
      </c>
      <c r="G65" s="35" t="s">
        <v>61</v>
      </c>
      <c r="H65" s="29">
        <v>10</v>
      </c>
      <c r="I65" s="28">
        <v>0.1338</v>
      </c>
      <c r="J65" s="44">
        <v>40</v>
      </c>
      <c r="K65" s="28">
        <v>0.1317</v>
      </c>
      <c r="L65" s="492">
        <v>1000</v>
      </c>
      <c r="M65" s="28">
        <v>0.1174</v>
      </c>
      <c r="N65" s="493">
        <v>1000</v>
      </c>
      <c r="O65" s="28">
        <v>0.0961</v>
      </c>
      <c r="P65" s="493"/>
      <c r="Q65" s="28">
        <v>0.0961</v>
      </c>
      <c r="R65" s="1311">
        <v>10000</v>
      </c>
      <c r="S65" s="1312"/>
      <c r="T65" s="1312"/>
      <c r="U65" s="1313"/>
      <c r="V65" s="73"/>
      <c r="W65" s="75"/>
      <c r="X65" s="73"/>
      <c r="Y65" s="75"/>
      <c r="Z65" s="74"/>
      <c r="AA65" s="74"/>
      <c r="AB65" s="66"/>
      <c r="AC65" s="90">
        <v>0</v>
      </c>
      <c r="AD65" s="66"/>
      <c r="AE65" s="90">
        <v>0.1</v>
      </c>
      <c r="AF65" s="66"/>
      <c r="AG65" s="90">
        <v>0</v>
      </c>
      <c r="AH65" s="67"/>
      <c r="AI65" s="12"/>
      <c r="AJ65" s="12"/>
    </row>
    <row r="66" spans="1:36" s="7" customFormat="1" ht="15" customHeight="1">
      <c r="A66" s="12"/>
      <c r="B66" s="9">
        <v>61</v>
      </c>
      <c r="C66" s="4">
        <v>3</v>
      </c>
      <c r="D66" s="5" t="s">
        <v>27</v>
      </c>
      <c r="E66" s="22"/>
      <c r="F66" s="170">
        <v>0.19</v>
      </c>
      <c r="G66" s="35" t="s">
        <v>61</v>
      </c>
      <c r="H66" s="29">
        <v>10</v>
      </c>
      <c r="I66" s="28">
        <v>0.1368</v>
      </c>
      <c r="J66" s="44">
        <v>40</v>
      </c>
      <c r="K66" s="28">
        <v>0.1298</v>
      </c>
      <c r="L66" s="492">
        <v>1000</v>
      </c>
      <c r="M66" s="28">
        <v>0.1158</v>
      </c>
      <c r="N66" s="493">
        <v>1000</v>
      </c>
      <c r="O66" s="28">
        <v>0.0947</v>
      </c>
      <c r="P66" s="493"/>
      <c r="Q66" s="28">
        <v>0.0947</v>
      </c>
      <c r="R66" s="1311">
        <v>10000</v>
      </c>
      <c r="S66" s="1312"/>
      <c r="T66" s="1312"/>
      <c r="U66" s="1313"/>
      <c r="V66" s="73"/>
      <c r="W66" s="75"/>
      <c r="X66" s="73"/>
      <c r="Y66" s="75"/>
      <c r="Z66" s="74"/>
      <c r="AA66" s="74"/>
      <c r="AB66" s="66"/>
      <c r="AC66" s="90">
        <v>0</v>
      </c>
      <c r="AD66" s="66"/>
      <c r="AE66" s="90">
        <v>0.1</v>
      </c>
      <c r="AF66" s="66"/>
      <c r="AG66" s="90">
        <v>0</v>
      </c>
      <c r="AH66" s="67"/>
      <c r="AI66" s="12"/>
      <c r="AJ66" s="12"/>
    </row>
    <row r="67" spans="1:36" s="7" customFormat="1" ht="15" customHeight="1">
      <c r="A67" s="12"/>
      <c r="B67" s="9">
        <v>62</v>
      </c>
      <c r="C67" s="4">
        <v>3</v>
      </c>
      <c r="D67" s="5" t="s">
        <v>542</v>
      </c>
      <c r="E67" s="22"/>
      <c r="F67" s="170">
        <v>0.19</v>
      </c>
      <c r="G67" s="35" t="s">
        <v>61</v>
      </c>
      <c r="H67" s="29">
        <v>10</v>
      </c>
      <c r="I67" s="28">
        <v>0.1355</v>
      </c>
      <c r="J67" s="44">
        <v>40</v>
      </c>
      <c r="K67" s="28">
        <v>0.1285</v>
      </c>
      <c r="L67" s="492">
        <v>1000</v>
      </c>
      <c r="M67" s="28">
        <v>0.1146</v>
      </c>
      <c r="N67" s="493">
        <v>1000</v>
      </c>
      <c r="O67" s="28">
        <v>0.0938</v>
      </c>
      <c r="P67" s="493"/>
      <c r="Q67" s="28">
        <v>0.0938</v>
      </c>
      <c r="R67" s="1311">
        <v>10000</v>
      </c>
      <c r="S67" s="1312"/>
      <c r="T67" s="1312"/>
      <c r="U67" s="1313"/>
      <c r="V67" s="73"/>
      <c r="W67" s="75"/>
      <c r="X67" s="73"/>
      <c r="Y67" s="75"/>
      <c r="Z67" s="74"/>
      <c r="AA67" s="74"/>
      <c r="AB67" s="66"/>
      <c r="AC67" s="90">
        <v>0</v>
      </c>
      <c r="AD67" s="66"/>
      <c r="AE67" s="90">
        <v>0.1</v>
      </c>
      <c r="AF67" s="66"/>
      <c r="AG67" s="90">
        <v>0</v>
      </c>
      <c r="AH67" s="67"/>
      <c r="AI67" s="12"/>
      <c r="AJ67" s="12"/>
    </row>
    <row r="68" spans="1:36" s="7" customFormat="1" ht="15" customHeight="1">
      <c r="A68" s="12"/>
      <c r="B68" s="9">
        <v>63</v>
      </c>
      <c r="C68" s="4">
        <v>3</v>
      </c>
      <c r="D68" s="5" t="s">
        <v>28</v>
      </c>
      <c r="E68" s="22"/>
      <c r="F68" s="170">
        <v>0.19</v>
      </c>
      <c r="G68" s="35" t="s">
        <v>61</v>
      </c>
      <c r="H68" s="29">
        <v>10</v>
      </c>
      <c r="I68" s="28">
        <v>0.1341</v>
      </c>
      <c r="J68" s="44">
        <v>40</v>
      </c>
      <c r="K68" s="28">
        <v>0.1272</v>
      </c>
      <c r="L68" s="492">
        <v>1000</v>
      </c>
      <c r="M68" s="28">
        <v>0.1135</v>
      </c>
      <c r="N68" s="493">
        <v>1000</v>
      </c>
      <c r="O68" s="28">
        <v>0.0928</v>
      </c>
      <c r="P68" s="493"/>
      <c r="Q68" s="28">
        <v>0.0928</v>
      </c>
      <c r="R68" s="1311">
        <v>10000</v>
      </c>
      <c r="S68" s="1312"/>
      <c r="T68" s="1312"/>
      <c r="U68" s="1313"/>
      <c r="V68" s="73"/>
      <c r="W68" s="75"/>
      <c r="X68" s="73"/>
      <c r="Y68" s="75"/>
      <c r="Z68" s="74"/>
      <c r="AA68" s="74"/>
      <c r="AB68" s="66"/>
      <c r="AC68" s="90">
        <v>0</v>
      </c>
      <c r="AD68" s="66"/>
      <c r="AE68" s="90">
        <v>0.1</v>
      </c>
      <c r="AF68" s="66"/>
      <c r="AG68" s="90">
        <v>0</v>
      </c>
      <c r="AH68" s="67"/>
      <c r="AI68" s="12"/>
      <c r="AJ68" s="12"/>
    </row>
    <row r="69" spans="1:36" s="7" customFormat="1" ht="15" customHeight="1">
      <c r="A69" s="12"/>
      <c r="B69" s="9">
        <v>64</v>
      </c>
      <c r="C69" s="4">
        <v>3</v>
      </c>
      <c r="D69" s="5" t="s">
        <v>29</v>
      </c>
      <c r="E69" s="22"/>
      <c r="F69" s="170">
        <v>0.19</v>
      </c>
      <c r="G69" s="35" t="s">
        <v>61</v>
      </c>
      <c r="H69" s="29">
        <v>10</v>
      </c>
      <c r="I69" s="28">
        <v>0.1328</v>
      </c>
      <c r="J69" s="44">
        <v>40</v>
      </c>
      <c r="K69" s="28">
        <v>0.126</v>
      </c>
      <c r="L69" s="492">
        <v>1000</v>
      </c>
      <c r="M69" s="28">
        <v>0.1123</v>
      </c>
      <c r="N69" s="493">
        <v>1000</v>
      </c>
      <c r="O69" s="28">
        <v>0.0919</v>
      </c>
      <c r="P69" s="493"/>
      <c r="Q69" s="28">
        <v>0.0919</v>
      </c>
      <c r="R69" s="1311">
        <v>10000</v>
      </c>
      <c r="S69" s="1312"/>
      <c r="T69" s="1312"/>
      <c r="U69" s="1313"/>
      <c r="V69" s="73"/>
      <c r="W69" s="75"/>
      <c r="X69" s="73"/>
      <c r="Y69" s="75"/>
      <c r="Z69" s="74"/>
      <c r="AA69" s="74"/>
      <c r="AB69" s="66"/>
      <c r="AC69" s="90">
        <v>0</v>
      </c>
      <c r="AD69" s="66"/>
      <c r="AE69" s="90">
        <v>0.1</v>
      </c>
      <c r="AF69" s="66"/>
      <c r="AG69" s="90">
        <v>0</v>
      </c>
      <c r="AH69" s="67"/>
      <c r="AI69" s="12"/>
      <c r="AJ69" s="12"/>
    </row>
    <row r="70" spans="1:36" s="7" customFormat="1" ht="15" customHeight="1">
      <c r="A70" s="12"/>
      <c r="B70" s="9">
        <v>65</v>
      </c>
      <c r="C70" s="4">
        <v>3</v>
      </c>
      <c r="D70" s="5" t="s">
        <v>543</v>
      </c>
      <c r="E70" s="22"/>
      <c r="F70" s="170">
        <v>0.19</v>
      </c>
      <c r="G70" s="35" t="s">
        <v>61</v>
      </c>
      <c r="H70" s="29">
        <v>10</v>
      </c>
      <c r="I70" s="28">
        <v>0.1314</v>
      </c>
      <c r="J70" s="44">
        <v>40</v>
      </c>
      <c r="K70" s="28">
        <v>0.1247</v>
      </c>
      <c r="L70" s="492">
        <v>1000</v>
      </c>
      <c r="M70" s="28">
        <v>0.1112</v>
      </c>
      <c r="N70" s="493">
        <v>1000</v>
      </c>
      <c r="O70" s="28">
        <v>0.091</v>
      </c>
      <c r="P70" s="493"/>
      <c r="Q70" s="28">
        <v>0.091</v>
      </c>
      <c r="R70" s="1311">
        <v>10000</v>
      </c>
      <c r="S70" s="1312"/>
      <c r="T70" s="1312"/>
      <c r="U70" s="1313"/>
      <c r="V70" s="73"/>
      <c r="W70" s="75"/>
      <c r="X70" s="73"/>
      <c r="Y70" s="75"/>
      <c r="Z70" s="74"/>
      <c r="AA70" s="74"/>
      <c r="AB70" s="66"/>
      <c r="AC70" s="90">
        <v>0</v>
      </c>
      <c r="AD70" s="66"/>
      <c r="AE70" s="90">
        <v>0.1</v>
      </c>
      <c r="AF70" s="66"/>
      <c r="AG70" s="90">
        <v>0</v>
      </c>
      <c r="AH70" s="67"/>
      <c r="AI70" s="12"/>
      <c r="AJ70" s="12"/>
    </row>
    <row r="71" spans="1:36" s="7" customFormat="1" ht="15" customHeight="1">
      <c r="A71" s="12"/>
      <c r="B71" s="9">
        <v>66</v>
      </c>
      <c r="C71" s="4">
        <v>3</v>
      </c>
      <c r="D71" s="5" t="s">
        <v>30</v>
      </c>
      <c r="E71" s="22"/>
      <c r="F71" s="170">
        <v>0.19</v>
      </c>
      <c r="G71" s="35" t="s">
        <v>61</v>
      </c>
      <c r="H71" s="29">
        <v>10</v>
      </c>
      <c r="I71" s="28">
        <v>0.1301</v>
      </c>
      <c r="J71" s="44">
        <v>40</v>
      </c>
      <c r="K71" s="28">
        <v>0.1234</v>
      </c>
      <c r="L71" s="492">
        <v>1000</v>
      </c>
      <c r="M71" s="28">
        <v>0.1101</v>
      </c>
      <c r="N71" s="493">
        <v>1000</v>
      </c>
      <c r="O71" s="28">
        <v>0.0901</v>
      </c>
      <c r="P71" s="493"/>
      <c r="Q71" s="28">
        <v>0.0901</v>
      </c>
      <c r="R71" s="1311">
        <v>10000</v>
      </c>
      <c r="S71" s="1312"/>
      <c r="T71" s="1312"/>
      <c r="U71" s="1313"/>
      <c r="V71" s="73"/>
      <c r="W71" s="75"/>
      <c r="X71" s="73"/>
      <c r="Y71" s="75"/>
      <c r="Z71" s="74"/>
      <c r="AA71" s="74"/>
      <c r="AB71" s="66"/>
      <c r="AC71" s="90">
        <v>0</v>
      </c>
      <c r="AD71" s="66"/>
      <c r="AE71" s="90">
        <v>0.1</v>
      </c>
      <c r="AF71" s="66"/>
      <c r="AG71" s="90">
        <v>0</v>
      </c>
      <c r="AH71" s="67"/>
      <c r="AI71" s="12"/>
      <c r="AJ71" s="12"/>
    </row>
    <row r="72" spans="1:36" s="7" customFormat="1" ht="15" customHeight="1">
      <c r="A72" s="12"/>
      <c r="B72" s="9">
        <v>67</v>
      </c>
      <c r="C72" s="4">
        <v>3</v>
      </c>
      <c r="D72" s="5" t="s">
        <v>31</v>
      </c>
      <c r="E72" s="22"/>
      <c r="F72" s="170">
        <v>0.19</v>
      </c>
      <c r="G72" s="35" t="s">
        <v>61</v>
      </c>
      <c r="H72" s="29">
        <v>10</v>
      </c>
      <c r="I72" s="28">
        <v>0.1288</v>
      </c>
      <c r="J72" s="44">
        <v>40</v>
      </c>
      <c r="K72" s="28">
        <v>0.1222</v>
      </c>
      <c r="L72" s="492">
        <v>1000</v>
      </c>
      <c r="M72" s="28">
        <v>0.109</v>
      </c>
      <c r="N72" s="493">
        <v>1000</v>
      </c>
      <c r="O72" s="28">
        <v>0.0892</v>
      </c>
      <c r="P72" s="493"/>
      <c r="Q72" s="28">
        <v>0.0892</v>
      </c>
      <c r="R72" s="1311">
        <v>10000</v>
      </c>
      <c r="S72" s="1312"/>
      <c r="T72" s="1312"/>
      <c r="U72" s="1313"/>
      <c r="V72" s="73"/>
      <c r="W72" s="75"/>
      <c r="X72" s="73"/>
      <c r="Y72" s="75"/>
      <c r="Z72" s="74"/>
      <c r="AA72" s="74"/>
      <c r="AB72" s="66"/>
      <c r="AC72" s="90">
        <v>0</v>
      </c>
      <c r="AD72" s="66"/>
      <c r="AE72" s="90">
        <v>0.1</v>
      </c>
      <c r="AF72" s="66"/>
      <c r="AG72" s="90">
        <v>0</v>
      </c>
      <c r="AH72" s="67"/>
      <c r="AI72" s="12"/>
      <c r="AJ72" s="12"/>
    </row>
    <row r="73" spans="1:36" s="7" customFormat="1" ht="15" customHeight="1">
      <c r="A73" s="12"/>
      <c r="B73" s="9">
        <v>68</v>
      </c>
      <c r="C73" s="4">
        <v>3</v>
      </c>
      <c r="D73" s="5" t="s">
        <v>558</v>
      </c>
      <c r="E73" s="22"/>
      <c r="F73" s="170">
        <v>0.19</v>
      </c>
      <c r="G73" s="35" t="s">
        <v>61</v>
      </c>
      <c r="H73" s="29">
        <v>10</v>
      </c>
      <c r="I73" s="828">
        <v>0.1275</v>
      </c>
      <c r="J73" s="44">
        <v>40</v>
      </c>
      <c r="K73" s="828">
        <v>0.124</v>
      </c>
      <c r="L73" s="492">
        <v>1000</v>
      </c>
      <c r="M73" s="828">
        <v>0.1109</v>
      </c>
      <c r="N73" s="493">
        <v>1000</v>
      </c>
      <c r="O73" s="28"/>
      <c r="P73" s="493"/>
      <c r="Q73" s="28">
        <v>0.0923</v>
      </c>
      <c r="R73" s="1311">
        <v>500</v>
      </c>
      <c r="S73" s="1312"/>
      <c r="T73" s="1312"/>
      <c r="U73" s="1313"/>
      <c r="V73" s="73"/>
      <c r="W73" s="75"/>
      <c r="X73" s="73"/>
      <c r="Y73" s="75"/>
      <c r="Z73" s="74"/>
      <c r="AA73" s="74"/>
      <c r="AB73" s="66"/>
      <c r="AC73" s="90">
        <v>0</v>
      </c>
      <c r="AD73" s="66"/>
      <c r="AE73" s="90">
        <v>0</v>
      </c>
      <c r="AF73" s="66"/>
      <c r="AG73" s="90">
        <v>0</v>
      </c>
      <c r="AH73" s="67"/>
      <c r="AI73" s="12"/>
      <c r="AJ73" s="12"/>
    </row>
    <row r="74" spans="1:36" s="7" customFormat="1" ht="15" customHeight="1">
      <c r="A74" s="12"/>
      <c r="B74" s="9">
        <v>69</v>
      </c>
      <c r="C74" s="4">
        <v>3</v>
      </c>
      <c r="D74" s="5" t="s">
        <v>32</v>
      </c>
      <c r="E74" s="22"/>
      <c r="F74" s="170">
        <v>0.19</v>
      </c>
      <c r="G74" s="35" t="s">
        <v>61</v>
      </c>
      <c r="H74" s="29">
        <v>10</v>
      </c>
      <c r="I74" s="828">
        <v>0.1268</v>
      </c>
      <c r="J74" s="44">
        <v>40</v>
      </c>
      <c r="K74" s="828">
        <v>0.1234</v>
      </c>
      <c r="L74" s="492">
        <v>1000</v>
      </c>
      <c r="M74" s="828">
        <v>0.1103</v>
      </c>
      <c r="N74" s="493">
        <v>1000</v>
      </c>
      <c r="O74" s="28"/>
      <c r="P74" s="493"/>
      <c r="Q74" s="28">
        <v>0.0918</v>
      </c>
      <c r="R74" s="1311">
        <v>500</v>
      </c>
      <c r="S74" s="1312"/>
      <c r="T74" s="1312"/>
      <c r="U74" s="1313"/>
      <c r="V74" s="73"/>
      <c r="W74" s="75"/>
      <c r="X74" s="73"/>
      <c r="Y74" s="75"/>
      <c r="Z74" s="74"/>
      <c r="AA74" s="74"/>
      <c r="AB74" s="66"/>
      <c r="AC74" s="90">
        <v>0</v>
      </c>
      <c r="AD74" s="66"/>
      <c r="AE74" s="90">
        <v>0</v>
      </c>
      <c r="AF74" s="66"/>
      <c r="AG74" s="90">
        <v>0</v>
      </c>
      <c r="AH74" s="67"/>
      <c r="AI74" s="12"/>
      <c r="AJ74" s="12"/>
    </row>
    <row r="75" spans="1:36" s="7" customFormat="1" ht="15" customHeight="1">
      <c r="A75" s="12"/>
      <c r="B75" s="9">
        <v>70</v>
      </c>
      <c r="C75" s="4">
        <v>3</v>
      </c>
      <c r="D75" s="767" t="s">
        <v>502</v>
      </c>
      <c r="E75" s="766"/>
      <c r="F75" s="170">
        <v>0.19</v>
      </c>
      <c r="G75" s="35" t="s">
        <v>60</v>
      </c>
      <c r="H75" s="29">
        <v>10</v>
      </c>
      <c r="I75" s="494"/>
      <c r="J75" s="44">
        <v>40</v>
      </c>
      <c r="K75" s="494"/>
      <c r="L75" s="492">
        <v>1000</v>
      </c>
      <c r="M75" s="494"/>
      <c r="N75" s="493">
        <v>1000</v>
      </c>
      <c r="O75" s="28"/>
      <c r="P75" s="493"/>
      <c r="Q75" s="494"/>
      <c r="R75" s="1311">
        <v>500</v>
      </c>
      <c r="S75" s="1312"/>
      <c r="T75" s="1312"/>
      <c r="U75" s="1313"/>
      <c r="V75" s="73"/>
      <c r="W75" s="75"/>
      <c r="X75" s="73"/>
      <c r="Y75" s="75"/>
      <c r="Z75" s="74"/>
      <c r="AA75" s="74"/>
      <c r="AB75" s="66"/>
      <c r="AC75" s="90">
        <v>0</v>
      </c>
      <c r="AD75" s="66"/>
      <c r="AE75" s="90">
        <v>0</v>
      </c>
      <c r="AF75" s="66"/>
      <c r="AG75" s="90">
        <v>0</v>
      </c>
      <c r="AH75" s="67"/>
      <c r="AI75" s="12"/>
      <c r="AJ75" s="12"/>
    </row>
    <row r="76" spans="1:36" s="7" customFormat="1" ht="15" customHeight="1">
      <c r="A76" s="12"/>
      <c r="B76" s="9">
        <v>71</v>
      </c>
      <c r="C76" s="4">
        <v>3</v>
      </c>
      <c r="D76" s="5" t="s">
        <v>33</v>
      </c>
      <c r="E76" s="22"/>
      <c r="F76" s="170">
        <v>0.19</v>
      </c>
      <c r="G76" s="35" t="s">
        <v>60</v>
      </c>
      <c r="H76" s="29">
        <v>10</v>
      </c>
      <c r="I76" s="28"/>
      <c r="J76" s="44">
        <v>40</v>
      </c>
      <c r="K76" s="28"/>
      <c r="L76" s="492">
        <v>1000</v>
      </c>
      <c r="M76" s="28"/>
      <c r="N76" s="493">
        <v>1000</v>
      </c>
      <c r="O76" s="28"/>
      <c r="P76" s="493"/>
      <c r="Q76" s="28"/>
      <c r="R76" s="1311">
        <v>500</v>
      </c>
      <c r="S76" s="1312"/>
      <c r="T76" s="1312"/>
      <c r="U76" s="1313"/>
      <c r="V76" s="73"/>
      <c r="W76" s="75"/>
      <c r="X76" s="73"/>
      <c r="Y76" s="75"/>
      <c r="Z76" s="74"/>
      <c r="AA76" s="74"/>
      <c r="AB76" s="66"/>
      <c r="AC76" s="90">
        <v>0</v>
      </c>
      <c r="AD76" s="66"/>
      <c r="AE76" s="90">
        <v>0</v>
      </c>
      <c r="AF76" s="66"/>
      <c r="AG76" s="90">
        <v>0</v>
      </c>
      <c r="AH76" s="67"/>
      <c r="AI76" s="12"/>
      <c r="AJ76" s="12"/>
    </row>
    <row r="77" spans="1:36" s="7" customFormat="1" ht="15" customHeight="1">
      <c r="A77" s="12"/>
      <c r="B77" s="9">
        <v>72</v>
      </c>
      <c r="C77" s="4">
        <v>3</v>
      </c>
      <c r="D77" s="5" t="s">
        <v>34</v>
      </c>
      <c r="E77" s="22"/>
      <c r="F77" s="170">
        <v>0.19</v>
      </c>
      <c r="G77" s="35" t="s">
        <v>60</v>
      </c>
      <c r="H77" s="29">
        <v>10</v>
      </c>
      <c r="I77" s="28"/>
      <c r="J77" s="44">
        <v>40</v>
      </c>
      <c r="K77" s="28"/>
      <c r="L77" s="492">
        <v>1000</v>
      </c>
      <c r="M77" s="28"/>
      <c r="N77" s="493">
        <v>1000</v>
      </c>
      <c r="O77" s="28"/>
      <c r="P77" s="493"/>
      <c r="Q77" s="28"/>
      <c r="R77" s="1311">
        <v>500</v>
      </c>
      <c r="S77" s="1312"/>
      <c r="T77" s="1312"/>
      <c r="U77" s="1313"/>
      <c r="V77" s="73"/>
      <c r="W77" s="75"/>
      <c r="X77" s="73"/>
      <c r="Y77" s="75"/>
      <c r="Z77" s="74"/>
      <c r="AA77" s="74"/>
      <c r="AB77" s="66"/>
      <c r="AC77" s="90">
        <v>0</v>
      </c>
      <c r="AD77" s="66"/>
      <c r="AE77" s="90">
        <v>0</v>
      </c>
      <c r="AF77" s="66"/>
      <c r="AG77" s="90">
        <v>0</v>
      </c>
      <c r="AH77" s="67"/>
      <c r="AI77" s="12"/>
      <c r="AJ77" s="12"/>
    </row>
    <row r="78" spans="1:36" s="7" customFormat="1" ht="15" customHeight="1">
      <c r="A78" s="12"/>
      <c r="B78" s="9">
        <v>73</v>
      </c>
      <c r="C78" s="4">
        <v>3</v>
      </c>
      <c r="D78" s="5" t="s">
        <v>35</v>
      </c>
      <c r="E78" s="22"/>
      <c r="F78" s="170">
        <v>0.19</v>
      </c>
      <c r="G78" s="35" t="s">
        <v>60</v>
      </c>
      <c r="H78" s="29">
        <v>10</v>
      </c>
      <c r="I78" s="28"/>
      <c r="J78" s="44">
        <v>40</v>
      </c>
      <c r="K78" s="28"/>
      <c r="L78" s="492">
        <v>1000</v>
      </c>
      <c r="M78" s="28"/>
      <c r="N78" s="493">
        <v>1000</v>
      </c>
      <c r="O78" s="28"/>
      <c r="P78" s="493"/>
      <c r="Q78" s="28"/>
      <c r="R78" s="1311">
        <v>500</v>
      </c>
      <c r="S78" s="1312"/>
      <c r="T78" s="1312"/>
      <c r="U78" s="1313"/>
      <c r="V78" s="73"/>
      <c r="W78" s="75"/>
      <c r="X78" s="73"/>
      <c r="Y78" s="75"/>
      <c r="Z78" s="74"/>
      <c r="AA78" s="74"/>
      <c r="AB78" s="66"/>
      <c r="AC78" s="90">
        <v>0</v>
      </c>
      <c r="AD78" s="66"/>
      <c r="AE78" s="90">
        <v>0</v>
      </c>
      <c r="AF78" s="66"/>
      <c r="AG78" s="90">
        <v>0</v>
      </c>
      <c r="AH78" s="67"/>
      <c r="AI78" s="12"/>
      <c r="AJ78" s="12"/>
    </row>
    <row r="79" spans="1:36" s="7" customFormat="1" ht="15" customHeight="1">
      <c r="A79" s="12"/>
      <c r="B79" s="9">
        <v>74</v>
      </c>
      <c r="C79" s="4">
        <v>3</v>
      </c>
      <c r="D79" s="5" t="s">
        <v>36</v>
      </c>
      <c r="E79" s="22"/>
      <c r="F79" s="170">
        <v>0.19</v>
      </c>
      <c r="G79" s="35" t="s">
        <v>60</v>
      </c>
      <c r="H79" s="29">
        <v>10</v>
      </c>
      <c r="I79" s="28"/>
      <c r="J79" s="44">
        <v>40</v>
      </c>
      <c r="K79" s="28"/>
      <c r="L79" s="492">
        <v>1000</v>
      </c>
      <c r="M79" s="28"/>
      <c r="N79" s="493">
        <v>1000</v>
      </c>
      <c r="O79" s="28"/>
      <c r="P79" s="493"/>
      <c r="Q79" s="28"/>
      <c r="R79" s="1311">
        <v>500</v>
      </c>
      <c r="S79" s="1312"/>
      <c r="T79" s="1312"/>
      <c r="U79" s="1313"/>
      <c r="V79" s="73"/>
      <c r="W79" s="75"/>
      <c r="X79" s="73"/>
      <c r="Y79" s="75"/>
      <c r="Z79" s="74"/>
      <c r="AA79" s="74"/>
      <c r="AB79" s="66"/>
      <c r="AC79" s="90">
        <v>0</v>
      </c>
      <c r="AD79" s="66"/>
      <c r="AE79" s="90">
        <v>0</v>
      </c>
      <c r="AF79" s="66"/>
      <c r="AG79" s="90">
        <v>0</v>
      </c>
      <c r="AH79" s="67"/>
      <c r="AI79" s="12"/>
      <c r="AJ79" s="12"/>
    </row>
    <row r="80" spans="1:36" s="7" customFormat="1" ht="15" customHeight="1">
      <c r="A80" s="12"/>
      <c r="B80" s="9">
        <v>75</v>
      </c>
      <c r="C80" s="4">
        <v>3</v>
      </c>
      <c r="D80" s="5" t="s">
        <v>37</v>
      </c>
      <c r="E80" s="22"/>
      <c r="F80" s="170">
        <v>0.19</v>
      </c>
      <c r="G80" s="35" t="s">
        <v>60</v>
      </c>
      <c r="H80" s="29">
        <v>10</v>
      </c>
      <c r="I80" s="28"/>
      <c r="J80" s="44">
        <v>40</v>
      </c>
      <c r="K80" s="28"/>
      <c r="L80" s="492">
        <v>1000</v>
      </c>
      <c r="M80" s="28"/>
      <c r="N80" s="493">
        <v>1000</v>
      </c>
      <c r="O80" s="28"/>
      <c r="P80" s="493"/>
      <c r="Q80" s="28"/>
      <c r="R80" s="1311">
        <v>500</v>
      </c>
      <c r="S80" s="1312"/>
      <c r="T80" s="1312"/>
      <c r="U80" s="1313"/>
      <c r="V80" s="73"/>
      <c r="W80" s="75"/>
      <c r="X80" s="73"/>
      <c r="Y80" s="75"/>
      <c r="Z80" s="74"/>
      <c r="AA80" s="74"/>
      <c r="AB80" s="66"/>
      <c r="AC80" s="90">
        <v>0</v>
      </c>
      <c r="AD80" s="66"/>
      <c r="AE80" s="90">
        <v>0</v>
      </c>
      <c r="AF80" s="66"/>
      <c r="AG80" s="90">
        <v>0</v>
      </c>
      <c r="AH80" s="67"/>
      <c r="AI80" s="12"/>
      <c r="AJ80" s="12"/>
    </row>
    <row r="81" spans="1:36" s="7" customFormat="1" ht="15" customHeight="1">
      <c r="A81" s="12"/>
      <c r="B81" s="9">
        <v>76</v>
      </c>
      <c r="C81" s="4">
        <v>3</v>
      </c>
      <c r="D81" s="5" t="s">
        <v>38</v>
      </c>
      <c r="E81" s="22"/>
      <c r="F81" s="170">
        <v>0.19</v>
      </c>
      <c r="G81" s="35" t="s">
        <v>60</v>
      </c>
      <c r="H81" s="29">
        <v>10</v>
      </c>
      <c r="I81" s="28"/>
      <c r="J81" s="44">
        <v>40</v>
      </c>
      <c r="K81" s="28"/>
      <c r="L81" s="492">
        <v>1000</v>
      </c>
      <c r="M81" s="28"/>
      <c r="N81" s="493">
        <v>1000</v>
      </c>
      <c r="O81" s="28"/>
      <c r="P81" s="493"/>
      <c r="Q81" s="28"/>
      <c r="R81" s="1311">
        <v>500</v>
      </c>
      <c r="S81" s="1312"/>
      <c r="T81" s="1312"/>
      <c r="U81" s="1313"/>
      <c r="V81" s="73"/>
      <c r="W81" s="75"/>
      <c r="X81" s="73"/>
      <c r="Y81" s="75"/>
      <c r="Z81" s="74"/>
      <c r="AA81" s="74"/>
      <c r="AB81" s="66"/>
      <c r="AC81" s="90">
        <v>0</v>
      </c>
      <c r="AD81" s="66"/>
      <c r="AE81" s="90">
        <v>0</v>
      </c>
      <c r="AF81" s="66"/>
      <c r="AG81" s="90">
        <v>0</v>
      </c>
      <c r="AH81" s="67"/>
      <c r="AI81" s="12"/>
      <c r="AJ81" s="12"/>
    </row>
    <row r="82" spans="1:36" s="7" customFormat="1" ht="15" customHeight="1">
      <c r="A82" s="12"/>
      <c r="B82" s="9">
        <v>77</v>
      </c>
      <c r="C82" s="4">
        <v>3</v>
      </c>
      <c r="D82" s="5" t="s">
        <v>9</v>
      </c>
      <c r="E82" s="22"/>
      <c r="F82" s="170">
        <v>0.19</v>
      </c>
      <c r="G82" s="35" t="s">
        <v>60</v>
      </c>
      <c r="H82" s="29">
        <v>10</v>
      </c>
      <c r="I82" s="28"/>
      <c r="J82" s="44">
        <v>40</v>
      </c>
      <c r="K82" s="28"/>
      <c r="L82" s="492">
        <v>1000</v>
      </c>
      <c r="M82" s="28"/>
      <c r="N82" s="493">
        <v>1000</v>
      </c>
      <c r="O82" s="28"/>
      <c r="P82" s="493"/>
      <c r="Q82" s="28"/>
      <c r="R82" s="1311">
        <v>500</v>
      </c>
      <c r="S82" s="1312"/>
      <c r="T82" s="1312"/>
      <c r="U82" s="1313"/>
      <c r="V82" s="73"/>
      <c r="W82" s="75"/>
      <c r="X82" s="73"/>
      <c r="Y82" s="75"/>
      <c r="Z82" s="74"/>
      <c r="AA82" s="74"/>
      <c r="AB82" s="66"/>
      <c r="AC82" s="90">
        <v>0</v>
      </c>
      <c r="AD82" s="66"/>
      <c r="AE82" s="90">
        <v>0</v>
      </c>
      <c r="AF82" s="66"/>
      <c r="AG82" s="90">
        <v>0</v>
      </c>
      <c r="AH82" s="67"/>
      <c r="AI82" s="12"/>
      <c r="AJ82" s="12"/>
    </row>
    <row r="83" spans="1:36" s="7" customFormat="1" ht="15" customHeight="1">
      <c r="A83" s="12"/>
      <c r="B83" s="9">
        <v>78</v>
      </c>
      <c r="C83" s="4">
        <v>3</v>
      </c>
      <c r="D83" s="5" t="s">
        <v>39</v>
      </c>
      <c r="E83" s="22"/>
      <c r="F83" s="170">
        <v>0.19</v>
      </c>
      <c r="G83" s="35" t="s">
        <v>60</v>
      </c>
      <c r="H83" s="29">
        <v>10</v>
      </c>
      <c r="I83" s="28"/>
      <c r="J83" s="44">
        <v>40</v>
      </c>
      <c r="K83" s="28"/>
      <c r="L83" s="492">
        <v>1000</v>
      </c>
      <c r="M83" s="28"/>
      <c r="N83" s="493">
        <v>1000</v>
      </c>
      <c r="O83" s="28"/>
      <c r="P83" s="493"/>
      <c r="Q83" s="28"/>
      <c r="R83" s="1311">
        <v>500</v>
      </c>
      <c r="S83" s="1312"/>
      <c r="T83" s="1312"/>
      <c r="U83" s="1313"/>
      <c r="V83" s="73"/>
      <c r="W83" s="75"/>
      <c r="X83" s="73"/>
      <c r="Y83" s="75"/>
      <c r="Z83" s="74"/>
      <c r="AA83" s="74"/>
      <c r="AB83" s="66"/>
      <c r="AC83" s="90">
        <v>0</v>
      </c>
      <c r="AD83" s="66"/>
      <c r="AE83" s="90">
        <v>0</v>
      </c>
      <c r="AF83" s="66"/>
      <c r="AG83" s="90">
        <v>0</v>
      </c>
      <c r="AH83" s="67"/>
      <c r="AI83" s="12"/>
      <c r="AJ83" s="12"/>
    </row>
    <row r="84" spans="1:36" s="7" customFormat="1" ht="15" customHeight="1">
      <c r="A84" s="12"/>
      <c r="B84" s="9">
        <v>79</v>
      </c>
      <c r="C84" s="4">
        <v>3</v>
      </c>
      <c r="D84" s="5" t="s">
        <v>40</v>
      </c>
      <c r="E84" s="22"/>
      <c r="F84" s="170">
        <v>0.19</v>
      </c>
      <c r="G84" s="35" t="s">
        <v>60</v>
      </c>
      <c r="H84" s="29">
        <v>10</v>
      </c>
      <c r="I84" s="28"/>
      <c r="J84" s="44">
        <v>40</v>
      </c>
      <c r="K84" s="28"/>
      <c r="L84" s="492">
        <v>1000</v>
      </c>
      <c r="M84" s="28"/>
      <c r="N84" s="493">
        <v>1000</v>
      </c>
      <c r="O84" s="28"/>
      <c r="P84" s="493"/>
      <c r="Q84" s="28"/>
      <c r="R84" s="1311">
        <v>500</v>
      </c>
      <c r="S84" s="1312"/>
      <c r="T84" s="1312"/>
      <c r="U84" s="1313"/>
      <c r="V84" s="73"/>
      <c r="W84" s="75"/>
      <c r="X84" s="73"/>
      <c r="Y84" s="75"/>
      <c r="Z84" s="74"/>
      <c r="AA84" s="74"/>
      <c r="AB84" s="66"/>
      <c r="AC84" s="90">
        <v>0</v>
      </c>
      <c r="AD84" s="66"/>
      <c r="AE84" s="90">
        <v>0</v>
      </c>
      <c r="AF84" s="66"/>
      <c r="AG84" s="90">
        <v>0</v>
      </c>
      <c r="AH84" s="67"/>
      <c r="AI84" s="12"/>
      <c r="AJ84" s="12"/>
    </row>
    <row r="85" spans="1:36" s="7" customFormat="1" ht="15" customHeight="1">
      <c r="A85" s="12"/>
      <c r="B85" s="9">
        <v>80</v>
      </c>
      <c r="C85" s="4">
        <v>3</v>
      </c>
      <c r="D85" s="5" t="s">
        <v>41</v>
      </c>
      <c r="E85" s="22"/>
      <c r="F85" s="170">
        <v>0.19</v>
      </c>
      <c r="G85" s="35" t="s">
        <v>60</v>
      </c>
      <c r="H85" s="29">
        <v>10</v>
      </c>
      <c r="I85" s="28"/>
      <c r="J85" s="44">
        <v>40</v>
      </c>
      <c r="K85" s="28"/>
      <c r="L85" s="492">
        <v>1000</v>
      </c>
      <c r="M85" s="28"/>
      <c r="N85" s="493">
        <v>1000</v>
      </c>
      <c r="O85" s="28"/>
      <c r="P85" s="493"/>
      <c r="Q85" s="28"/>
      <c r="R85" s="1311">
        <v>500</v>
      </c>
      <c r="S85" s="1312"/>
      <c r="T85" s="1312"/>
      <c r="U85" s="1313"/>
      <c r="V85" s="73"/>
      <c r="W85" s="75"/>
      <c r="X85" s="73"/>
      <c r="Y85" s="75"/>
      <c r="Z85" s="74"/>
      <c r="AA85" s="74"/>
      <c r="AB85" s="66"/>
      <c r="AC85" s="90">
        <v>0</v>
      </c>
      <c r="AD85" s="66"/>
      <c r="AE85" s="90">
        <v>0</v>
      </c>
      <c r="AF85" s="66"/>
      <c r="AG85" s="90">
        <v>0</v>
      </c>
      <c r="AH85" s="67"/>
      <c r="AI85" s="12"/>
      <c r="AJ85" s="12"/>
    </row>
    <row r="86" spans="1:36" s="7" customFormat="1" ht="15" customHeight="1">
      <c r="A86" s="12"/>
      <c r="B86" s="9">
        <v>81</v>
      </c>
      <c r="C86" s="4">
        <v>3</v>
      </c>
      <c r="D86" s="5" t="s">
        <v>42</v>
      </c>
      <c r="E86" s="22"/>
      <c r="F86" s="170">
        <v>0.19</v>
      </c>
      <c r="G86" s="35" t="s">
        <v>60</v>
      </c>
      <c r="H86" s="29">
        <v>10</v>
      </c>
      <c r="I86" s="28"/>
      <c r="J86" s="44">
        <v>40</v>
      </c>
      <c r="K86" s="28"/>
      <c r="L86" s="492">
        <v>1000</v>
      </c>
      <c r="M86" s="28"/>
      <c r="N86" s="493">
        <v>1000</v>
      </c>
      <c r="O86" s="28"/>
      <c r="P86" s="493"/>
      <c r="Q86" s="28"/>
      <c r="R86" s="1311">
        <v>500</v>
      </c>
      <c r="S86" s="1312"/>
      <c r="T86" s="1312"/>
      <c r="U86" s="1313"/>
      <c r="V86" s="73"/>
      <c r="W86" s="75"/>
      <c r="X86" s="73"/>
      <c r="Y86" s="75"/>
      <c r="Z86" s="74"/>
      <c r="AA86" s="74"/>
      <c r="AB86" s="66"/>
      <c r="AC86" s="90">
        <v>0</v>
      </c>
      <c r="AD86" s="66"/>
      <c r="AE86" s="90">
        <v>0</v>
      </c>
      <c r="AF86" s="66"/>
      <c r="AG86" s="90">
        <v>0</v>
      </c>
      <c r="AH86" s="67"/>
      <c r="AI86" s="12"/>
      <c r="AJ86" s="12"/>
    </row>
    <row r="87" spans="1:36" s="7" customFormat="1" ht="15" customHeight="1">
      <c r="A87" s="12"/>
      <c r="B87" s="9">
        <v>82</v>
      </c>
      <c r="C87" s="4">
        <v>3</v>
      </c>
      <c r="D87" s="5" t="s">
        <v>43</v>
      </c>
      <c r="E87" s="22"/>
      <c r="F87" s="170">
        <v>0.19</v>
      </c>
      <c r="G87" s="35" t="s">
        <v>60</v>
      </c>
      <c r="H87" s="29">
        <v>10</v>
      </c>
      <c r="I87" s="28"/>
      <c r="J87" s="44">
        <v>40</v>
      </c>
      <c r="K87" s="28"/>
      <c r="L87" s="492">
        <v>1000</v>
      </c>
      <c r="M87" s="28"/>
      <c r="N87" s="493">
        <v>1000</v>
      </c>
      <c r="O87" s="28"/>
      <c r="P87" s="493"/>
      <c r="Q87" s="28"/>
      <c r="R87" s="1311">
        <v>500</v>
      </c>
      <c r="S87" s="1312"/>
      <c r="T87" s="1312"/>
      <c r="U87" s="1313"/>
      <c r="V87" s="73"/>
      <c r="W87" s="75"/>
      <c r="X87" s="73"/>
      <c r="Y87" s="75"/>
      <c r="Z87" s="74"/>
      <c r="AA87" s="74"/>
      <c r="AB87" s="66"/>
      <c r="AC87" s="90">
        <v>0</v>
      </c>
      <c r="AD87" s="66"/>
      <c r="AE87" s="90">
        <v>0</v>
      </c>
      <c r="AF87" s="66"/>
      <c r="AG87" s="90">
        <v>0</v>
      </c>
      <c r="AH87" s="67"/>
      <c r="AI87" s="12"/>
      <c r="AJ87" s="12"/>
    </row>
    <row r="88" spans="1:36" s="7" customFormat="1" ht="15" customHeight="1">
      <c r="A88" s="12"/>
      <c r="B88" s="9">
        <v>83</v>
      </c>
      <c r="C88" s="4">
        <v>3</v>
      </c>
      <c r="D88" s="5" t="s">
        <v>44</v>
      </c>
      <c r="E88" s="22"/>
      <c r="F88" s="170">
        <v>0.19</v>
      </c>
      <c r="G88" s="35" t="s">
        <v>60</v>
      </c>
      <c r="H88" s="29">
        <v>10</v>
      </c>
      <c r="I88" s="28"/>
      <c r="J88" s="44">
        <v>40</v>
      </c>
      <c r="K88" s="28"/>
      <c r="L88" s="492">
        <v>1000</v>
      </c>
      <c r="M88" s="28"/>
      <c r="N88" s="493">
        <v>1000</v>
      </c>
      <c r="O88" s="28"/>
      <c r="P88" s="493"/>
      <c r="Q88" s="28"/>
      <c r="R88" s="1311">
        <v>500</v>
      </c>
      <c r="S88" s="1312"/>
      <c r="T88" s="1312"/>
      <c r="U88" s="1313"/>
      <c r="V88" s="73"/>
      <c r="W88" s="75"/>
      <c r="X88" s="73"/>
      <c r="Y88" s="75"/>
      <c r="Z88" s="74"/>
      <c r="AA88" s="74"/>
      <c r="AB88" s="66"/>
      <c r="AC88" s="90">
        <v>0</v>
      </c>
      <c r="AD88" s="66"/>
      <c r="AE88" s="90">
        <v>0</v>
      </c>
      <c r="AF88" s="66"/>
      <c r="AG88" s="90">
        <v>0</v>
      </c>
      <c r="AH88" s="67"/>
      <c r="AI88" s="12"/>
      <c r="AJ88" s="12"/>
    </row>
    <row r="89" spans="1:36" s="7" customFormat="1" ht="15" customHeight="1">
      <c r="A89" s="12"/>
      <c r="B89" s="9">
        <v>84</v>
      </c>
      <c r="C89" s="4">
        <v>3</v>
      </c>
      <c r="D89" s="5" t="s">
        <v>45</v>
      </c>
      <c r="E89" s="22"/>
      <c r="F89" s="170">
        <v>0.19</v>
      </c>
      <c r="G89" s="35" t="s">
        <v>60</v>
      </c>
      <c r="H89" s="29">
        <v>10</v>
      </c>
      <c r="I89" s="28"/>
      <c r="J89" s="44">
        <v>40</v>
      </c>
      <c r="K89" s="28"/>
      <c r="L89" s="492">
        <v>1000</v>
      </c>
      <c r="M89" s="28"/>
      <c r="N89" s="493">
        <v>1000</v>
      </c>
      <c r="O89" s="28"/>
      <c r="P89" s="493"/>
      <c r="Q89" s="28"/>
      <c r="R89" s="1311">
        <v>500</v>
      </c>
      <c r="S89" s="1312"/>
      <c r="T89" s="1312"/>
      <c r="U89" s="1313"/>
      <c r="V89" s="73"/>
      <c r="W89" s="75"/>
      <c r="X89" s="73"/>
      <c r="Y89" s="75"/>
      <c r="Z89" s="74"/>
      <c r="AA89" s="74"/>
      <c r="AB89" s="66"/>
      <c r="AC89" s="90">
        <v>0</v>
      </c>
      <c r="AD89" s="66"/>
      <c r="AE89" s="90">
        <v>0</v>
      </c>
      <c r="AF89" s="66"/>
      <c r="AG89" s="90">
        <v>0</v>
      </c>
      <c r="AH89" s="67"/>
      <c r="AI89" s="12"/>
      <c r="AJ89" s="12"/>
    </row>
    <row r="90" spans="1:36" s="7" customFormat="1" ht="15" customHeight="1">
      <c r="A90" s="12"/>
      <c r="B90" s="9">
        <v>85</v>
      </c>
      <c r="C90" s="4">
        <v>3</v>
      </c>
      <c r="D90" s="5" t="s">
        <v>47</v>
      </c>
      <c r="E90" s="22"/>
      <c r="F90" s="170">
        <v>0.19</v>
      </c>
      <c r="G90" s="35" t="s">
        <v>60</v>
      </c>
      <c r="H90" s="29">
        <v>10</v>
      </c>
      <c r="I90" s="28"/>
      <c r="J90" s="44">
        <v>40</v>
      </c>
      <c r="K90" s="28"/>
      <c r="L90" s="492">
        <v>1000</v>
      </c>
      <c r="M90" s="28"/>
      <c r="N90" s="493">
        <v>1000</v>
      </c>
      <c r="O90" s="28"/>
      <c r="P90" s="493"/>
      <c r="Q90" s="28"/>
      <c r="R90" s="1311">
        <v>100</v>
      </c>
      <c r="S90" s="1312"/>
      <c r="T90" s="1312"/>
      <c r="U90" s="1313"/>
      <c r="V90" s="73"/>
      <c r="W90" s="75"/>
      <c r="X90" s="73"/>
      <c r="Y90" s="75"/>
      <c r="Z90" s="74"/>
      <c r="AA90" s="74"/>
      <c r="AB90" s="66"/>
      <c r="AC90" s="90">
        <v>0</v>
      </c>
      <c r="AD90" s="66"/>
      <c r="AE90" s="90">
        <v>0</v>
      </c>
      <c r="AF90" s="66"/>
      <c r="AG90" s="90">
        <v>0</v>
      </c>
      <c r="AH90" s="67"/>
      <c r="AI90" s="12"/>
      <c r="AJ90" s="12"/>
    </row>
    <row r="91" spans="1:36" s="7" customFormat="1" ht="15" customHeight="1">
      <c r="A91" s="12"/>
      <c r="B91" s="9">
        <v>86</v>
      </c>
      <c r="C91" s="4">
        <v>3</v>
      </c>
      <c r="D91" s="5" t="s">
        <v>48</v>
      </c>
      <c r="E91" s="22"/>
      <c r="F91" s="170">
        <v>0.19</v>
      </c>
      <c r="G91" s="35" t="s">
        <v>60</v>
      </c>
      <c r="H91" s="29">
        <v>10</v>
      </c>
      <c r="I91" s="28"/>
      <c r="J91" s="44">
        <v>40</v>
      </c>
      <c r="K91" s="28"/>
      <c r="L91" s="492">
        <v>1000</v>
      </c>
      <c r="M91" s="28"/>
      <c r="N91" s="493">
        <v>1000</v>
      </c>
      <c r="O91" s="28"/>
      <c r="P91" s="493"/>
      <c r="Q91" s="28"/>
      <c r="R91" s="1311">
        <v>100</v>
      </c>
      <c r="S91" s="1312"/>
      <c r="T91" s="1312"/>
      <c r="U91" s="1313"/>
      <c r="V91" s="73"/>
      <c r="W91" s="75"/>
      <c r="X91" s="73"/>
      <c r="Y91" s="75"/>
      <c r="Z91" s="74"/>
      <c r="AA91" s="74"/>
      <c r="AB91" s="66"/>
      <c r="AC91" s="90">
        <v>0</v>
      </c>
      <c r="AD91" s="66"/>
      <c r="AE91" s="90">
        <v>0</v>
      </c>
      <c r="AF91" s="66"/>
      <c r="AG91" s="90">
        <v>0</v>
      </c>
      <c r="AH91" s="67"/>
      <c r="AI91" s="12"/>
      <c r="AJ91" s="12"/>
    </row>
    <row r="92" spans="1:36" s="7" customFormat="1" ht="15" customHeight="1">
      <c r="A92" s="12"/>
      <c r="B92" s="9">
        <v>87</v>
      </c>
      <c r="C92" s="4">
        <v>3</v>
      </c>
      <c r="D92" s="5" t="s">
        <v>49</v>
      </c>
      <c r="E92" s="22"/>
      <c r="F92" s="170">
        <v>0.19</v>
      </c>
      <c r="G92" s="35" t="s">
        <v>60</v>
      </c>
      <c r="H92" s="29">
        <v>10</v>
      </c>
      <c r="I92" s="28"/>
      <c r="J92" s="44">
        <v>40</v>
      </c>
      <c r="K92" s="28"/>
      <c r="L92" s="492">
        <v>1000</v>
      </c>
      <c r="M92" s="28"/>
      <c r="N92" s="493">
        <v>1000</v>
      </c>
      <c r="O92" s="28"/>
      <c r="P92" s="493"/>
      <c r="Q92" s="28"/>
      <c r="R92" s="1311">
        <v>100</v>
      </c>
      <c r="S92" s="1312"/>
      <c r="T92" s="1312"/>
      <c r="U92" s="1313"/>
      <c r="V92" s="73"/>
      <c r="W92" s="75"/>
      <c r="X92" s="73"/>
      <c r="Y92" s="75"/>
      <c r="Z92" s="74"/>
      <c r="AA92" s="74"/>
      <c r="AB92" s="66"/>
      <c r="AC92" s="90">
        <v>0</v>
      </c>
      <c r="AD92" s="66"/>
      <c r="AE92" s="90">
        <v>0</v>
      </c>
      <c r="AF92" s="66"/>
      <c r="AG92" s="90">
        <v>0</v>
      </c>
      <c r="AH92" s="67"/>
      <c r="AI92" s="12"/>
      <c r="AJ92" s="12"/>
    </row>
    <row r="93" spans="1:36" s="7" customFormat="1" ht="15" customHeight="1">
      <c r="A93" s="12"/>
      <c r="B93" s="9">
        <v>88</v>
      </c>
      <c r="C93" s="4">
        <v>3</v>
      </c>
      <c r="D93" s="5" t="s">
        <v>50</v>
      </c>
      <c r="E93" s="22"/>
      <c r="F93" s="170">
        <v>0.19</v>
      </c>
      <c r="G93" s="35" t="s">
        <v>60</v>
      </c>
      <c r="H93" s="29">
        <v>10</v>
      </c>
      <c r="I93" s="28"/>
      <c r="J93" s="44">
        <v>40</v>
      </c>
      <c r="K93" s="28"/>
      <c r="L93" s="492">
        <v>1000</v>
      </c>
      <c r="M93" s="28"/>
      <c r="N93" s="493">
        <v>1000</v>
      </c>
      <c r="O93" s="28"/>
      <c r="P93" s="493"/>
      <c r="Q93" s="28"/>
      <c r="R93" s="1311">
        <v>100</v>
      </c>
      <c r="S93" s="1312"/>
      <c r="T93" s="1312"/>
      <c r="U93" s="1313"/>
      <c r="V93" s="73"/>
      <c r="W93" s="75"/>
      <c r="X93" s="73"/>
      <c r="Y93" s="75"/>
      <c r="Z93" s="74"/>
      <c r="AA93" s="74"/>
      <c r="AB93" s="66"/>
      <c r="AC93" s="90">
        <v>0</v>
      </c>
      <c r="AD93" s="66"/>
      <c r="AE93" s="90">
        <v>0</v>
      </c>
      <c r="AF93" s="66"/>
      <c r="AG93" s="90">
        <v>0</v>
      </c>
      <c r="AH93" s="67"/>
      <c r="AI93" s="12"/>
      <c r="AJ93" s="12"/>
    </row>
    <row r="94" spans="1:36" s="7" customFormat="1" ht="15" customHeight="1">
      <c r="A94" s="12"/>
      <c r="B94" s="9">
        <v>89</v>
      </c>
      <c r="C94" s="4">
        <v>3</v>
      </c>
      <c r="D94" s="5" t="s">
        <v>10</v>
      </c>
      <c r="E94" s="22"/>
      <c r="F94" s="170">
        <v>0.19</v>
      </c>
      <c r="G94" s="35" t="s">
        <v>60</v>
      </c>
      <c r="H94" s="29">
        <v>10</v>
      </c>
      <c r="I94" s="28"/>
      <c r="J94" s="44">
        <v>40</v>
      </c>
      <c r="K94" s="28"/>
      <c r="L94" s="492">
        <v>1000</v>
      </c>
      <c r="M94" s="28"/>
      <c r="N94" s="493">
        <v>1000</v>
      </c>
      <c r="O94" s="28"/>
      <c r="P94" s="493"/>
      <c r="Q94" s="28"/>
      <c r="R94" s="1311">
        <v>100</v>
      </c>
      <c r="S94" s="1312"/>
      <c r="T94" s="1312"/>
      <c r="U94" s="1313"/>
      <c r="V94" s="73"/>
      <c r="W94" s="75"/>
      <c r="X94" s="73"/>
      <c r="Y94" s="75"/>
      <c r="Z94" s="74"/>
      <c r="AA94" s="74"/>
      <c r="AB94" s="66"/>
      <c r="AC94" s="90">
        <v>0</v>
      </c>
      <c r="AD94" s="66"/>
      <c r="AE94" s="90">
        <v>0</v>
      </c>
      <c r="AF94" s="66"/>
      <c r="AG94" s="90">
        <v>0</v>
      </c>
      <c r="AH94" s="67"/>
      <c r="AI94" s="12"/>
      <c r="AJ94" s="12"/>
    </row>
    <row r="95" spans="1:36" s="7" customFormat="1" ht="15" customHeight="1">
      <c r="A95" s="12"/>
      <c r="B95" s="9">
        <v>90</v>
      </c>
      <c r="C95" s="4">
        <v>3</v>
      </c>
      <c r="D95" s="5" t="s">
        <v>51</v>
      </c>
      <c r="E95" s="22"/>
      <c r="F95" s="170">
        <v>0.19</v>
      </c>
      <c r="G95" s="35" t="s">
        <v>60</v>
      </c>
      <c r="H95" s="29">
        <v>10</v>
      </c>
      <c r="I95" s="28"/>
      <c r="J95" s="44">
        <v>40</v>
      </c>
      <c r="K95" s="28"/>
      <c r="L95" s="492">
        <v>1000</v>
      </c>
      <c r="M95" s="28"/>
      <c r="N95" s="493">
        <v>1000</v>
      </c>
      <c r="O95" s="28"/>
      <c r="P95" s="493"/>
      <c r="Q95" s="28"/>
      <c r="R95" s="1311">
        <v>100</v>
      </c>
      <c r="S95" s="1312"/>
      <c r="T95" s="1312"/>
      <c r="U95" s="1313"/>
      <c r="V95" s="73"/>
      <c r="W95" s="75"/>
      <c r="X95" s="73"/>
      <c r="Y95" s="75"/>
      <c r="Z95" s="74"/>
      <c r="AA95" s="74"/>
      <c r="AB95" s="66"/>
      <c r="AC95" s="90">
        <v>0</v>
      </c>
      <c r="AD95" s="66"/>
      <c r="AE95" s="90">
        <v>0</v>
      </c>
      <c r="AF95" s="66"/>
      <c r="AG95" s="90">
        <v>0</v>
      </c>
      <c r="AH95" s="67"/>
      <c r="AI95" s="12"/>
      <c r="AJ95" s="12"/>
    </row>
    <row r="96" spans="1:36" s="7" customFormat="1" ht="15" customHeight="1">
      <c r="A96" s="12"/>
      <c r="B96" s="9">
        <v>91</v>
      </c>
      <c r="C96" s="4">
        <v>3</v>
      </c>
      <c r="D96" s="5" t="s">
        <v>52</v>
      </c>
      <c r="E96" s="22"/>
      <c r="F96" s="170">
        <v>0.19</v>
      </c>
      <c r="G96" s="35" t="s">
        <v>60</v>
      </c>
      <c r="H96" s="29">
        <v>10</v>
      </c>
      <c r="I96" s="28"/>
      <c r="J96" s="44">
        <v>40</v>
      </c>
      <c r="K96" s="28"/>
      <c r="L96" s="492">
        <v>1000</v>
      </c>
      <c r="M96" s="28"/>
      <c r="N96" s="493">
        <v>1000</v>
      </c>
      <c r="O96" s="28"/>
      <c r="P96" s="493"/>
      <c r="Q96" s="28"/>
      <c r="R96" s="1311">
        <v>100</v>
      </c>
      <c r="S96" s="1312"/>
      <c r="T96" s="1312"/>
      <c r="U96" s="1313"/>
      <c r="V96" s="73"/>
      <c r="W96" s="75"/>
      <c r="X96" s="73"/>
      <c r="Y96" s="75"/>
      <c r="Z96" s="74"/>
      <c r="AA96" s="74"/>
      <c r="AB96" s="66"/>
      <c r="AC96" s="90">
        <v>0</v>
      </c>
      <c r="AD96" s="66"/>
      <c r="AE96" s="90">
        <v>0</v>
      </c>
      <c r="AF96" s="66"/>
      <c r="AG96" s="90">
        <v>0</v>
      </c>
      <c r="AH96" s="67"/>
      <c r="AI96" s="12"/>
      <c r="AJ96" s="12"/>
    </row>
    <row r="97" spans="1:36" s="7" customFormat="1" ht="15" customHeight="1">
      <c r="A97" s="12"/>
      <c r="B97" s="9">
        <v>92</v>
      </c>
      <c r="C97" s="4">
        <v>3</v>
      </c>
      <c r="D97" s="5" t="s">
        <v>53</v>
      </c>
      <c r="E97" s="22"/>
      <c r="F97" s="170">
        <v>0.19</v>
      </c>
      <c r="G97" s="35" t="s">
        <v>60</v>
      </c>
      <c r="H97" s="29">
        <v>10</v>
      </c>
      <c r="I97" s="28"/>
      <c r="J97" s="44">
        <v>40</v>
      </c>
      <c r="K97" s="28"/>
      <c r="L97" s="492">
        <v>1000</v>
      </c>
      <c r="M97" s="28"/>
      <c r="N97" s="493">
        <v>1000</v>
      </c>
      <c r="O97" s="28"/>
      <c r="P97" s="493"/>
      <c r="Q97" s="28"/>
      <c r="R97" s="1311">
        <v>100</v>
      </c>
      <c r="S97" s="1312"/>
      <c r="T97" s="1312"/>
      <c r="U97" s="1313"/>
      <c r="V97" s="73"/>
      <c r="W97" s="75"/>
      <c r="X97" s="73"/>
      <c r="Y97" s="75"/>
      <c r="Z97" s="74"/>
      <c r="AA97" s="74"/>
      <c r="AB97" s="66"/>
      <c r="AC97" s="90">
        <v>0</v>
      </c>
      <c r="AD97" s="66"/>
      <c r="AE97" s="90">
        <v>0</v>
      </c>
      <c r="AF97" s="66"/>
      <c r="AG97" s="90">
        <v>0</v>
      </c>
      <c r="AH97" s="67"/>
      <c r="AI97" s="12"/>
      <c r="AJ97" s="12"/>
    </row>
    <row r="98" spans="1:36" s="7" customFormat="1" ht="15" customHeight="1">
      <c r="A98" s="12"/>
      <c r="B98" s="9">
        <v>93</v>
      </c>
      <c r="C98" s="4">
        <v>3</v>
      </c>
      <c r="D98" s="5" t="s">
        <v>54</v>
      </c>
      <c r="E98" s="22"/>
      <c r="F98" s="170">
        <v>0.19</v>
      </c>
      <c r="G98" s="35" t="s">
        <v>60</v>
      </c>
      <c r="H98" s="29">
        <v>10</v>
      </c>
      <c r="I98" s="28"/>
      <c r="J98" s="44">
        <v>40</v>
      </c>
      <c r="K98" s="28"/>
      <c r="L98" s="492">
        <v>1000</v>
      </c>
      <c r="M98" s="28"/>
      <c r="N98" s="493">
        <v>1000</v>
      </c>
      <c r="O98" s="28"/>
      <c r="P98" s="493"/>
      <c r="Q98" s="28"/>
      <c r="R98" s="1311">
        <v>100</v>
      </c>
      <c r="S98" s="1312"/>
      <c r="T98" s="1312"/>
      <c r="U98" s="1313"/>
      <c r="V98" s="73"/>
      <c r="W98" s="75"/>
      <c r="X98" s="73"/>
      <c r="Y98" s="75"/>
      <c r="Z98" s="74"/>
      <c r="AA98" s="74"/>
      <c r="AB98" s="66"/>
      <c r="AC98" s="90">
        <v>0</v>
      </c>
      <c r="AD98" s="66"/>
      <c r="AE98" s="90">
        <v>0</v>
      </c>
      <c r="AF98" s="66"/>
      <c r="AG98" s="90">
        <v>0</v>
      </c>
      <c r="AH98" s="67"/>
      <c r="AI98" s="12"/>
      <c r="AJ98" s="12"/>
    </row>
    <row r="99" spans="1:36" s="7" customFormat="1" ht="15" customHeight="1">
      <c r="A99" s="12"/>
      <c r="B99" s="9">
        <v>94</v>
      </c>
      <c r="C99" s="4">
        <v>3</v>
      </c>
      <c r="D99" s="5" t="s">
        <v>55</v>
      </c>
      <c r="E99" s="22"/>
      <c r="F99" s="170">
        <v>0.19</v>
      </c>
      <c r="G99" s="35" t="s">
        <v>60</v>
      </c>
      <c r="H99" s="29">
        <v>10</v>
      </c>
      <c r="I99" s="28"/>
      <c r="J99" s="44">
        <v>40</v>
      </c>
      <c r="K99" s="28"/>
      <c r="L99" s="492">
        <v>1000</v>
      </c>
      <c r="M99" s="28"/>
      <c r="N99" s="493">
        <v>1000</v>
      </c>
      <c r="O99" s="28"/>
      <c r="P99" s="493"/>
      <c r="Q99" s="28"/>
      <c r="R99" s="1311">
        <v>100</v>
      </c>
      <c r="S99" s="1312"/>
      <c r="T99" s="1312"/>
      <c r="U99" s="1313"/>
      <c r="V99" s="73"/>
      <c r="W99" s="75"/>
      <c r="X99" s="73"/>
      <c r="Y99" s="75"/>
      <c r="Z99" s="74"/>
      <c r="AA99" s="74"/>
      <c r="AB99" s="66"/>
      <c r="AC99" s="90">
        <v>0</v>
      </c>
      <c r="AD99" s="66"/>
      <c r="AE99" s="90">
        <v>0</v>
      </c>
      <c r="AF99" s="66"/>
      <c r="AG99" s="90">
        <v>0</v>
      </c>
      <c r="AH99" s="67"/>
      <c r="AI99" s="12"/>
      <c r="AJ99" s="12"/>
    </row>
    <row r="100" spans="1:36" s="7" customFormat="1" ht="15" customHeight="1">
      <c r="A100" s="12"/>
      <c r="B100" s="9">
        <v>95</v>
      </c>
      <c r="C100" s="4">
        <v>3</v>
      </c>
      <c r="D100" s="5" t="s">
        <v>56</v>
      </c>
      <c r="E100" s="22"/>
      <c r="F100" s="170">
        <v>0.19</v>
      </c>
      <c r="G100" s="35" t="s">
        <v>60</v>
      </c>
      <c r="H100" s="29">
        <v>10</v>
      </c>
      <c r="I100" s="28"/>
      <c r="J100" s="44">
        <v>40</v>
      </c>
      <c r="K100" s="28"/>
      <c r="L100" s="492">
        <v>1000</v>
      </c>
      <c r="M100" s="28"/>
      <c r="N100" s="493">
        <v>1000</v>
      </c>
      <c r="O100" s="28"/>
      <c r="P100" s="493"/>
      <c r="Q100" s="28"/>
      <c r="R100" s="1311">
        <v>100</v>
      </c>
      <c r="S100" s="1312"/>
      <c r="T100" s="1312"/>
      <c r="U100" s="1313"/>
      <c r="V100" s="73"/>
      <c r="W100" s="75"/>
      <c r="X100" s="73"/>
      <c r="Y100" s="75"/>
      <c r="Z100" s="74"/>
      <c r="AA100" s="74"/>
      <c r="AB100" s="66"/>
      <c r="AC100" s="90">
        <v>0</v>
      </c>
      <c r="AD100" s="66"/>
      <c r="AE100" s="90">
        <v>0</v>
      </c>
      <c r="AF100" s="66"/>
      <c r="AG100" s="90">
        <v>0</v>
      </c>
      <c r="AH100" s="67"/>
      <c r="AI100" s="12"/>
      <c r="AJ100" s="12"/>
    </row>
    <row r="101" spans="1:36" s="7" customFormat="1" ht="15" customHeight="1">
      <c r="A101" s="12"/>
      <c r="B101" s="9">
        <v>96</v>
      </c>
      <c r="C101" s="4">
        <v>3</v>
      </c>
      <c r="D101" s="5" t="s">
        <v>57</v>
      </c>
      <c r="E101" s="22"/>
      <c r="F101" s="170">
        <v>0.19</v>
      </c>
      <c r="G101" s="35" t="s">
        <v>60</v>
      </c>
      <c r="H101" s="29">
        <v>10</v>
      </c>
      <c r="I101" s="28"/>
      <c r="J101" s="44">
        <v>40</v>
      </c>
      <c r="K101" s="28"/>
      <c r="L101" s="492">
        <v>1000</v>
      </c>
      <c r="M101" s="28"/>
      <c r="N101" s="493">
        <v>1000</v>
      </c>
      <c r="O101" s="28"/>
      <c r="P101" s="493"/>
      <c r="Q101" s="28"/>
      <c r="R101" s="1311">
        <v>100</v>
      </c>
      <c r="S101" s="1312"/>
      <c r="T101" s="1312"/>
      <c r="U101" s="1313"/>
      <c r="V101" s="83"/>
      <c r="W101" s="84"/>
      <c r="X101" s="83"/>
      <c r="Y101" s="84"/>
      <c r="Z101" s="93"/>
      <c r="AA101" s="93"/>
      <c r="AB101" s="66"/>
      <c r="AC101" s="90">
        <v>0</v>
      </c>
      <c r="AD101" s="66"/>
      <c r="AE101" s="90">
        <v>0</v>
      </c>
      <c r="AF101" s="66"/>
      <c r="AG101" s="90">
        <v>0</v>
      </c>
      <c r="AH101" s="67"/>
      <c r="AI101" s="12"/>
      <c r="AJ101" s="12"/>
    </row>
    <row r="102" spans="1:36" s="7" customFormat="1" ht="14.25">
      <c r="A102" s="12"/>
      <c r="B102" s="9">
        <v>97</v>
      </c>
      <c r="C102" s="4"/>
      <c r="D102" s="5"/>
      <c r="E102" s="22"/>
      <c r="F102" s="170">
        <v>0.19</v>
      </c>
      <c r="G102" s="25"/>
      <c r="H102" s="14"/>
      <c r="I102" s="16"/>
      <c r="J102" s="14"/>
      <c r="K102" s="14"/>
      <c r="L102" s="14"/>
      <c r="M102" s="14"/>
      <c r="N102" s="14"/>
      <c r="O102" s="14"/>
      <c r="P102" s="642"/>
      <c r="Q102" s="642"/>
      <c r="R102" s="62"/>
      <c r="S102" s="63"/>
      <c r="T102" s="63"/>
      <c r="U102" s="63"/>
      <c r="V102" s="14"/>
      <c r="W102" s="14"/>
      <c r="X102" s="14"/>
      <c r="Y102" s="14"/>
      <c r="Z102" s="14"/>
      <c r="AA102" s="14"/>
      <c r="AB102" s="14"/>
      <c r="AC102" s="14"/>
      <c r="AD102" s="14"/>
      <c r="AE102" s="14"/>
      <c r="AF102" s="14"/>
      <c r="AG102" s="14"/>
      <c r="AH102" s="14"/>
      <c r="AI102" s="12"/>
      <c r="AJ102" s="12"/>
    </row>
    <row r="103" spans="1:36" s="7" customFormat="1" ht="14.25">
      <c r="A103" s="12"/>
      <c r="B103" s="9">
        <v>98</v>
      </c>
      <c r="C103" s="4"/>
      <c r="D103" s="5"/>
      <c r="E103" s="22"/>
      <c r="F103" s="170">
        <v>0.19</v>
      </c>
      <c r="G103" s="25"/>
      <c r="H103" s="14"/>
      <c r="I103" s="16"/>
      <c r="J103" s="14"/>
      <c r="K103" s="14"/>
      <c r="L103" s="14"/>
      <c r="M103" s="14"/>
      <c r="N103" s="14"/>
      <c r="O103" s="14"/>
      <c r="P103" s="14"/>
      <c r="Q103" s="14"/>
      <c r="R103" s="14"/>
      <c r="S103" s="64"/>
      <c r="T103" s="64"/>
      <c r="U103" s="64"/>
      <c r="V103" s="14"/>
      <c r="W103" s="14"/>
      <c r="X103" s="14"/>
      <c r="Y103" s="14"/>
      <c r="Z103" s="14"/>
      <c r="AA103" s="14"/>
      <c r="AB103" s="14"/>
      <c r="AC103" s="14"/>
      <c r="AD103" s="14"/>
      <c r="AE103" s="14"/>
      <c r="AF103" s="14"/>
      <c r="AG103" s="14"/>
      <c r="AH103" s="14"/>
      <c r="AI103" s="12"/>
      <c r="AJ103" s="12"/>
    </row>
    <row r="104" spans="1:36" s="7" customFormat="1" ht="15" thickBot="1">
      <c r="A104" s="12"/>
      <c r="B104" s="55">
        <v>99</v>
      </c>
      <c r="C104" s="80"/>
      <c r="D104" s="6"/>
      <c r="E104" s="23"/>
      <c r="F104" s="173">
        <v>0.19</v>
      </c>
      <c r="G104" s="26"/>
      <c r="H104" s="15"/>
      <c r="I104" s="10"/>
      <c r="J104" s="15"/>
      <c r="K104" s="15"/>
      <c r="L104" s="15"/>
      <c r="M104" s="15"/>
      <c r="N104" s="15"/>
      <c r="O104" s="15"/>
      <c r="P104" s="15"/>
      <c r="Q104" s="15"/>
      <c r="R104" s="15"/>
      <c r="S104" s="65"/>
      <c r="T104" s="65"/>
      <c r="U104" s="65"/>
      <c r="V104" s="15"/>
      <c r="W104" s="15"/>
      <c r="X104" s="15"/>
      <c r="Y104" s="15"/>
      <c r="Z104" s="15"/>
      <c r="AA104" s="15"/>
      <c r="AB104" s="15"/>
      <c r="AC104" s="15"/>
      <c r="AD104" s="15"/>
      <c r="AE104" s="15"/>
      <c r="AF104" s="15"/>
      <c r="AG104" s="15"/>
      <c r="AH104" s="15"/>
      <c r="AI104" s="12"/>
      <c r="AJ104" s="12"/>
    </row>
    <row r="105" spans="1:36" s="7" customFormat="1" ht="15" thickTop="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s="7" customFormat="1" ht="14.25">
      <c r="A106" s="12"/>
      <c r="B106" s="12"/>
      <c r="C106" s="12"/>
      <c r="D106" s="12"/>
      <c r="E106" s="12"/>
      <c r="F106" s="12"/>
      <c r="G106" s="12"/>
      <c r="H106" s="166" t="s">
        <v>560</v>
      </c>
      <c r="I106" s="829"/>
      <c r="J106" s="829"/>
      <c r="K106" s="829"/>
      <c r="L106" s="829"/>
      <c r="M106" s="829"/>
      <c r="N106" s="829"/>
      <c r="O106" s="829"/>
      <c r="P106" s="829"/>
      <c r="Q106" s="829"/>
      <c r="R106" s="12"/>
      <c r="S106" s="12"/>
      <c r="T106" s="12"/>
      <c r="U106" s="12"/>
      <c r="V106" s="12"/>
      <c r="W106" s="12"/>
      <c r="X106" s="12"/>
      <c r="Y106" s="12"/>
      <c r="Z106" s="12"/>
      <c r="AA106" s="12"/>
      <c r="AB106" s="12"/>
      <c r="AC106" s="12"/>
      <c r="AD106" s="12"/>
      <c r="AE106" s="12"/>
      <c r="AF106" s="12"/>
      <c r="AG106" s="12"/>
      <c r="AH106" s="12"/>
      <c r="AI106" s="12"/>
      <c r="AJ106" s="12"/>
    </row>
    <row r="107" spans="1:36" s="7" customFormat="1" ht="14.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s="7" customFormat="1" ht="14.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s="7" customFormat="1" ht="14.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s="7" customFormat="1" ht="14.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6" s="7" customFormat="1" ht="14.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6" s="7" customFormat="1" ht="14.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6" s="7" customFormat="1" ht="14.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6" s="7" customFormat="1" ht="14.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6" s="7" customFormat="1" ht="14.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6" s="7" customFormat="1" ht="14.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6" s="7" customFormat="1" ht="14.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6" s="7" customFormat="1" ht="14.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6" s="7" customFormat="1" ht="14.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6" s="7" customFormat="1" ht="14.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6" s="7" customFormat="1" ht="14.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6" s="7" customFormat="1" ht="14.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6" s="7" customFormat="1" ht="14.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6" s="7" customFormat="1" ht="14.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6" s="7" customFormat="1" ht="14.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6" s="7" customFormat="1" ht="14.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6" s="7" customFormat="1" ht="14.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6" s="7" customFormat="1" ht="14.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6" s="7" customFormat="1" ht="14.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6" s="7" customFormat="1" ht="14.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6" s="7" customFormat="1" ht="14.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6" s="7" customFormat="1" ht="14.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6" s="7" customFormat="1" ht="14.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6" s="7" customFormat="1" ht="14.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6" s="7" customFormat="1" ht="14.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6" s="7" customFormat="1" ht="14.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6" s="7" customFormat="1" ht="14.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6" s="7" customFormat="1" ht="14.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6" s="7" customFormat="1" ht="14.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6" s="7" customFormat="1" ht="14.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6" s="7" customFormat="1" ht="14.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6" s="7" customFormat="1" ht="14.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6" s="7" customFormat="1" ht="14.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6" s="7" customFormat="1" ht="14.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6" s="7" customFormat="1" ht="14.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6" s="7" customFormat="1" ht="14.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6" s="7" customFormat="1" ht="14.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6" s="7" customFormat="1" ht="14.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6" s="7" customFormat="1" ht="14.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6" s="7" customFormat="1" ht="14.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6" s="7" customFormat="1" ht="14.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sheetData>
  <sheetProtection password="F30F" sheet="1"/>
  <mergeCells count="67">
    <mergeCell ref="H3:U3"/>
    <mergeCell ref="V3:Y3"/>
    <mergeCell ref="Z3:AA3"/>
    <mergeCell ref="AB3:AE3"/>
    <mergeCell ref="Z5:AA5"/>
    <mergeCell ref="AB5:AC5"/>
    <mergeCell ref="AD5:AE5"/>
    <mergeCell ref="H4:O4"/>
    <mergeCell ref="P4:Q4"/>
    <mergeCell ref="AF5:AG5"/>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8:U68"/>
    <mergeCell ref="R69:U69"/>
    <mergeCell ref="R70:U70"/>
    <mergeCell ref="R71:U71"/>
    <mergeCell ref="R72:U72"/>
    <mergeCell ref="R73:U73"/>
    <mergeCell ref="R74:U74"/>
    <mergeCell ref="R75:U75"/>
    <mergeCell ref="R76:U76"/>
    <mergeCell ref="R77:U77"/>
    <mergeCell ref="R78:U78"/>
    <mergeCell ref="R79:U79"/>
    <mergeCell ref="R80:U80"/>
    <mergeCell ref="R81:U81"/>
    <mergeCell ref="R82:U82"/>
    <mergeCell ref="R83:U83"/>
    <mergeCell ref="R84:U84"/>
    <mergeCell ref="R85:U85"/>
    <mergeCell ref="R86:U86"/>
    <mergeCell ref="R87:U87"/>
    <mergeCell ref="R88:U88"/>
    <mergeCell ref="R89:U89"/>
    <mergeCell ref="R90:U90"/>
    <mergeCell ref="R91:U91"/>
    <mergeCell ref="R98:U98"/>
    <mergeCell ref="R99:U99"/>
    <mergeCell ref="R100:U100"/>
    <mergeCell ref="R101:U101"/>
    <mergeCell ref="R92:U92"/>
    <mergeCell ref="R93:U93"/>
    <mergeCell ref="R94:U94"/>
    <mergeCell ref="R95:U95"/>
    <mergeCell ref="R96:U96"/>
    <mergeCell ref="R97:U97"/>
  </mergeCells>
  <conditionalFormatting sqref="I6">
    <cfRule type="expression" priority="21" dxfId="0" stopIfTrue="1">
      <formula>G6="v"</formula>
    </cfRule>
  </conditionalFormatting>
  <conditionalFormatting sqref="I45">
    <cfRule type="expression" priority="20" dxfId="0" stopIfTrue="1">
      <formula>G45="v"</formula>
    </cfRule>
  </conditionalFormatting>
  <conditionalFormatting sqref="I7:I17">
    <cfRule type="expression" priority="18" dxfId="0" stopIfTrue="1">
      <formula>G7="v"</formula>
    </cfRule>
  </conditionalFormatting>
  <conditionalFormatting sqref="I18:I26">
    <cfRule type="expression" priority="17" dxfId="0" stopIfTrue="1">
      <formula>G18="v"</formula>
    </cfRule>
  </conditionalFormatting>
  <conditionalFormatting sqref="I27:I29">
    <cfRule type="expression" priority="16" dxfId="0" stopIfTrue="1">
      <formula>G27="v"</formula>
    </cfRule>
  </conditionalFormatting>
  <conditionalFormatting sqref="I30">
    <cfRule type="expression" priority="15" dxfId="0" stopIfTrue="1">
      <formula>G30="v"</formula>
    </cfRule>
  </conditionalFormatting>
  <conditionalFormatting sqref="I31:I41">
    <cfRule type="expression" priority="14" dxfId="0" stopIfTrue="1">
      <formula>G31="v"</formula>
    </cfRule>
  </conditionalFormatting>
  <conditionalFormatting sqref="I42:I44">
    <cfRule type="expression" priority="13" dxfId="0" stopIfTrue="1">
      <formula>G42="v"</formula>
    </cfRule>
  </conditionalFormatting>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124"/>
  <sheetViews>
    <sheetView zoomScale="60" zoomScaleNormal="60" workbookViewId="0" topLeftCell="A1">
      <selection activeCell="A1" sqref="A1"/>
    </sheetView>
  </sheetViews>
  <sheetFormatPr defaultColWidth="11.00390625" defaultRowHeight="12.75"/>
  <cols>
    <col min="1" max="1" width="2.57421875" style="867" customWidth="1"/>
    <col min="2" max="2" width="18.57421875" style="867" customWidth="1"/>
    <col min="3" max="7" width="15.57421875" style="867" customWidth="1"/>
    <col min="8" max="9" width="5.57421875" style="867" customWidth="1"/>
    <col min="10" max="10" width="7.140625" style="867" customWidth="1"/>
    <col min="11" max="17" width="11.7109375" style="867" customWidth="1"/>
    <col min="18" max="18" width="9.57421875" style="867" customWidth="1"/>
    <col min="19" max="28" width="11.7109375" style="867" customWidth="1"/>
    <col min="29" max="16384" width="11.00390625" style="867" customWidth="1"/>
  </cols>
  <sheetData>
    <row r="1" spans="1:28" ht="18">
      <c r="A1" s="923" t="s">
        <v>733</v>
      </c>
      <c r="B1" s="923"/>
      <c r="C1" s="923"/>
      <c r="D1" s="923"/>
      <c r="E1" s="923"/>
      <c r="F1" s="923"/>
      <c r="G1" s="923"/>
      <c r="H1" s="923"/>
      <c r="I1" s="923"/>
      <c r="J1" s="923"/>
      <c r="K1" s="868"/>
      <c r="L1" s="868"/>
      <c r="M1" s="868"/>
      <c r="N1" s="868"/>
      <c r="O1" s="868"/>
      <c r="P1" s="868"/>
      <c r="Q1" s="868"/>
      <c r="R1" s="868"/>
      <c r="S1" s="868"/>
      <c r="T1" s="868"/>
      <c r="U1" s="868"/>
      <c r="V1" s="868"/>
      <c r="W1" s="868"/>
      <c r="X1" s="868"/>
      <c r="Y1" s="868"/>
      <c r="Z1" s="868"/>
      <c r="AA1" s="868"/>
      <c r="AB1" s="868"/>
    </row>
    <row r="2" spans="1:28" ht="12.75" customHeight="1">
      <c r="A2" s="868"/>
      <c r="B2" s="868"/>
      <c r="C2" s="868"/>
      <c r="D2" s="868"/>
      <c r="E2" s="868"/>
      <c r="F2" s="868"/>
      <c r="G2" s="1334" t="s">
        <v>732</v>
      </c>
      <c r="H2" s="868"/>
      <c r="I2" s="923"/>
      <c r="J2" s="868"/>
      <c r="K2" s="868"/>
      <c r="L2" s="868"/>
      <c r="M2" s="868"/>
      <c r="N2" s="868"/>
      <c r="O2" s="868"/>
      <c r="P2" s="868"/>
      <c r="Q2" s="868"/>
      <c r="R2" s="868"/>
      <c r="S2" s="868"/>
      <c r="T2" s="868"/>
      <c r="U2" s="868"/>
      <c r="V2" s="868"/>
      <c r="W2" s="868"/>
      <c r="X2" s="868"/>
      <c r="Y2" s="868"/>
      <c r="Z2" s="868"/>
      <c r="AA2" s="868"/>
      <c r="AB2" s="868"/>
    </row>
    <row r="3" spans="1:28" ht="12.75" customHeight="1">
      <c r="A3" s="868"/>
      <c r="B3" s="921"/>
      <c r="C3" s="921"/>
      <c r="D3" s="921"/>
      <c r="E3" s="921"/>
      <c r="F3" s="921"/>
      <c r="G3" s="1335"/>
      <c r="H3" s="868"/>
      <c r="I3" s="923"/>
      <c r="J3" s="921" t="s">
        <v>717</v>
      </c>
      <c r="K3" s="927" t="s">
        <v>731</v>
      </c>
      <c r="L3" s="868"/>
      <c r="M3" s="868"/>
      <c r="N3" s="868"/>
      <c r="O3" s="868"/>
      <c r="P3" s="868"/>
      <c r="Q3" s="868"/>
      <c r="R3" s="868"/>
      <c r="S3" s="926" t="s">
        <v>730</v>
      </c>
      <c r="T3" s="868"/>
      <c r="U3" s="868"/>
      <c r="V3" s="868"/>
      <c r="W3" s="868"/>
      <c r="X3" s="868"/>
      <c r="Y3" s="868"/>
      <c r="Z3" s="868"/>
      <c r="AA3" s="868"/>
      <c r="AB3" s="868"/>
    </row>
    <row r="4" spans="1:28" ht="15" customHeight="1">
      <c r="A4" s="868"/>
      <c r="B4" s="925" t="s">
        <v>729</v>
      </c>
      <c r="C4" s="897"/>
      <c r="D4" s="897"/>
      <c r="E4" s="897"/>
      <c r="F4" s="897"/>
      <c r="G4" s="1336"/>
      <c r="H4" s="868"/>
      <c r="I4" s="923"/>
      <c r="J4" s="868"/>
      <c r="K4" s="869"/>
      <c r="L4" s="868"/>
      <c r="M4" s="868"/>
      <c r="N4" s="868"/>
      <c r="O4" s="868"/>
      <c r="P4" s="868"/>
      <c r="Q4" s="868"/>
      <c r="R4" s="868"/>
      <c r="S4" s="868"/>
      <c r="T4" s="868"/>
      <c r="U4" s="868"/>
      <c r="V4" s="868"/>
      <c r="W4" s="868"/>
      <c r="X4" s="868"/>
      <c r="Y4" s="868"/>
      <c r="Z4" s="868"/>
      <c r="AA4" s="868"/>
      <c r="AB4" s="868"/>
    </row>
    <row r="5" spans="1:28" ht="18">
      <c r="A5" s="868"/>
      <c r="B5" s="924" t="s">
        <v>728</v>
      </c>
      <c r="C5" s="897"/>
      <c r="D5" s="897"/>
      <c r="E5" s="897"/>
      <c r="F5" s="868"/>
      <c r="G5" s="897"/>
      <c r="H5" s="868"/>
      <c r="I5" s="923"/>
      <c r="J5" s="868"/>
      <c r="K5" s="869"/>
      <c r="L5" s="868"/>
      <c r="M5" s="868"/>
      <c r="N5" s="868"/>
      <c r="O5" s="868"/>
      <c r="P5" s="868"/>
      <c r="Q5" s="868"/>
      <c r="R5" s="868"/>
      <c r="S5" s="869" t="s">
        <v>726</v>
      </c>
      <c r="T5" s="868"/>
      <c r="U5" s="920" t="s">
        <v>727</v>
      </c>
      <c r="V5" s="868"/>
      <c r="W5" s="868"/>
      <c r="X5" s="868"/>
      <c r="Y5" s="868"/>
      <c r="Z5" s="868"/>
      <c r="AA5" s="868"/>
      <c r="AB5" s="868"/>
    </row>
    <row r="6" spans="1:28" ht="14.25">
      <c r="A6" s="868"/>
      <c r="B6" s="897"/>
      <c r="C6" s="897"/>
      <c r="D6" s="897"/>
      <c r="E6" s="897"/>
      <c r="F6" s="868"/>
      <c r="G6" s="897"/>
      <c r="H6" s="897"/>
      <c r="I6" s="897"/>
      <c r="J6" s="868"/>
      <c r="K6" s="868"/>
      <c r="L6" s="868"/>
      <c r="M6" s="868"/>
      <c r="N6" s="868"/>
      <c r="O6" s="868"/>
      <c r="P6" s="868"/>
      <c r="Q6" s="868"/>
      <c r="R6" s="868"/>
      <c r="S6" s="868" t="s">
        <v>726</v>
      </c>
      <c r="T6" s="868"/>
      <c r="U6" s="920" t="s">
        <v>725</v>
      </c>
      <c r="V6" s="868"/>
      <c r="W6" s="868"/>
      <c r="X6" s="868"/>
      <c r="Y6" s="868"/>
      <c r="Z6" s="868"/>
      <c r="AA6" s="868"/>
      <c r="AB6" s="868"/>
    </row>
    <row r="7" spans="1:28" ht="14.25">
      <c r="A7" s="868"/>
      <c r="B7" s="897" t="s">
        <v>548</v>
      </c>
      <c r="C7" s="897"/>
      <c r="D7" s="897"/>
      <c r="E7" s="897"/>
      <c r="F7" s="868"/>
      <c r="G7" s="897"/>
      <c r="H7" s="897"/>
      <c r="I7" s="897"/>
      <c r="J7" s="868"/>
      <c r="K7" s="868"/>
      <c r="L7" s="868"/>
      <c r="M7" s="868"/>
      <c r="N7" s="868"/>
      <c r="O7" s="868"/>
      <c r="P7" s="868"/>
      <c r="Q7" s="868"/>
      <c r="R7" s="868"/>
      <c r="S7" s="868" t="s">
        <v>724</v>
      </c>
      <c r="T7" s="869"/>
      <c r="U7" s="920" t="s">
        <v>723</v>
      </c>
      <c r="V7" s="868"/>
      <c r="W7" s="868"/>
      <c r="X7" s="868"/>
      <c r="Y7" s="868"/>
      <c r="Z7" s="868"/>
      <c r="AA7" s="868"/>
      <c r="AB7" s="868"/>
    </row>
    <row r="8" spans="1:28" ht="13.5" customHeight="1">
      <c r="A8" s="868"/>
      <c r="B8" s="897" t="s">
        <v>722</v>
      </c>
      <c r="C8" s="897"/>
      <c r="D8" s="897"/>
      <c r="E8" s="897"/>
      <c r="F8" s="897"/>
      <c r="G8" s="897"/>
      <c r="H8" s="897"/>
      <c r="I8" s="897"/>
      <c r="J8" s="868"/>
      <c r="K8" s="868"/>
      <c r="L8" s="868"/>
      <c r="M8" s="868"/>
      <c r="N8" s="868"/>
      <c r="O8" s="868"/>
      <c r="P8" s="868"/>
      <c r="Q8" s="868"/>
      <c r="R8" s="868"/>
      <c r="S8" s="868" t="s">
        <v>721</v>
      </c>
      <c r="T8" s="868"/>
      <c r="U8" s="920" t="s">
        <v>720</v>
      </c>
      <c r="V8" s="868"/>
      <c r="W8" s="868"/>
      <c r="X8" s="868"/>
      <c r="Y8" s="868"/>
      <c r="Z8" s="868"/>
      <c r="AA8" s="868"/>
      <c r="AB8" s="868"/>
    </row>
    <row r="9" spans="1:28" ht="14.25">
      <c r="A9" s="868"/>
      <c r="B9" s="897" t="s">
        <v>550</v>
      </c>
      <c r="C9" s="897"/>
      <c r="D9" s="897"/>
      <c r="E9" s="897"/>
      <c r="F9" s="897"/>
      <c r="G9" s="897"/>
      <c r="H9" s="897"/>
      <c r="I9" s="897"/>
      <c r="J9" s="868"/>
      <c r="K9" s="868"/>
      <c r="L9" s="868"/>
      <c r="M9" s="868"/>
      <c r="N9" s="868"/>
      <c r="O9" s="868"/>
      <c r="P9" s="868"/>
      <c r="Q9" s="868"/>
      <c r="R9" s="868"/>
      <c r="S9" s="868" t="s">
        <v>719</v>
      </c>
      <c r="T9" s="868"/>
      <c r="U9" s="920" t="s">
        <v>718</v>
      </c>
      <c r="V9" s="868"/>
      <c r="W9" s="868"/>
      <c r="X9" s="868"/>
      <c r="Y9" s="868"/>
      <c r="Z9" s="868"/>
      <c r="AA9" s="868"/>
      <c r="AB9" s="868"/>
    </row>
    <row r="10" spans="1:28" ht="14.25">
      <c r="A10" s="868"/>
      <c r="B10" s="897" t="s">
        <v>551</v>
      </c>
      <c r="C10" s="897"/>
      <c r="D10" s="897"/>
      <c r="E10" s="897"/>
      <c r="F10" s="897"/>
      <c r="G10" s="897"/>
      <c r="H10" s="897"/>
      <c r="I10" s="897"/>
      <c r="J10" s="868"/>
      <c r="K10" s="868"/>
      <c r="L10" s="868"/>
      <c r="M10" s="868"/>
      <c r="N10" s="868"/>
      <c r="O10" s="868"/>
      <c r="P10" s="868"/>
      <c r="Q10" s="868"/>
      <c r="R10" s="868"/>
      <c r="S10" s="868"/>
      <c r="T10" s="868"/>
      <c r="U10" s="868"/>
      <c r="V10" s="868"/>
      <c r="W10" s="868"/>
      <c r="X10" s="868"/>
      <c r="Y10" s="868"/>
      <c r="Z10" s="868"/>
      <c r="AA10" s="868"/>
      <c r="AB10" s="868"/>
    </row>
    <row r="11" spans="1:28" ht="13.5" customHeight="1">
      <c r="A11" s="868"/>
      <c r="B11" s="897" t="s">
        <v>552</v>
      </c>
      <c r="C11" s="897"/>
      <c r="D11" s="897"/>
      <c r="E11" s="897"/>
      <c r="F11" s="897"/>
      <c r="G11" s="897"/>
      <c r="H11" s="897"/>
      <c r="I11" s="897"/>
      <c r="J11" s="868"/>
      <c r="K11" s="868"/>
      <c r="L11" s="868"/>
      <c r="M11" s="868"/>
      <c r="N11" s="868"/>
      <c r="O11" s="868"/>
      <c r="P11" s="868"/>
      <c r="Q11" s="868"/>
      <c r="R11" s="868"/>
      <c r="S11" s="868"/>
      <c r="T11" s="868"/>
      <c r="U11" s="868"/>
      <c r="V11" s="868"/>
      <c r="W11" s="868"/>
      <c r="X11" s="868"/>
      <c r="Y11" s="868"/>
      <c r="Z11" s="868"/>
      <c r="AA11" s="868"/>
      <c r="AB11" s="868"/>
    </row>
    <row r="12" spans="1:28" ht="14.25">
      <c r="A12" s="868"/>
      <c r="B12" s="897" t="s">
        <v>553</v>
      </c>
      <c r="C12" s="897"/>
      <c r="D12" s="897"/>
      <c r="E12" s="897"/>
      <c r="F12" s="897"/>
      <c r="G12" s="897"/>
      <c r="H12" s="897"/>
      <c r="I12" s="897"/>
      <c r="J12" s="868"/>
      <c r="K12" s="868"/>
      <c r="L12" s="868"/>
      <c r="M12" s="868"/>
      <c r="N12" s="868"/>
      <c r="O12" s="868"/>
      <c r="P12" s="868"/>
      <c r="Q12" s="868"/>
      <c r="R12" s="868"/>
      <c r="S12" s="922"/>
      <c r="T12" s="868"/>
      <c r="U12" s="868"/>
      <c r="V12" s="868"/>
      <c r="W12" s="868"/>
      <c r="X12" s="868"/>
      <c r="Y12" s="868"/>
      <c r="Z12" s="868"/>
      <c r="AA12" s="868"/>
      <c r="AB12" s="868"/>
    </row>
    <row r="13" spans="1:28" ht="14.25">
      <c r="A13" s="868"/>
      <c r="B13" s="897"/>
      <c r="C13" s="897"/>
      <c r="D13" s="897"/>
      <c r="E13" s="897"/>
      <c r="F13" s="897"/>
      <c r="G13" s="897"/>
      <c r="H13" s="897"/>
      <c r="I13" s="897"/>
      <c r="J13" s="921" t="s">
        <v>717</v>
      </c>
      <c r="K13" s="920" t="s">
        <v>716</v>
      </c>
      <c r="L13" s="868"/>
      <c r="M13" s="868"/>
      <c r="N13" s="868"/>
      <c r="O13" s="868"/>
      <c r="P13" s="868"/>
      <c r="Q13" s="868"/>
      <c r="R13" s="868"/>
      <c r="S13" s="868"/>
      <c r="T13" s="868"/>
      <c r="U13" s="920"/>
      <c r="V13" s="868"/>
      <c r="W13" s="868"/>
      <c r="X13" s="868"/>
      <c r="Y13" s="868"/>
      <c r="Z13" s="868"/>
      <c r="AA13" s="868"/>
      <c r="AB13" s="868"/>
    </row>
    <row r="14" spans="1:28" ht="14.25">
      <c r="A14" s="868"/>
      <c r="B14" s="919" t="s">
        <v>715</v>
      </c>
      <c r="C14" s="897"/>
      <c r="D14" s="897"/>
      <c r="E14" s="897"/>
      <c r="F14" s="897"/>
      <c r="G14" s="897"/>
      <c r="H14" s="897"/>
      <c r="I14" s="897"/>
      <c r="J14" s="868"/>
      <c r="K14" s="869" t="s">
        <v>714</v>
      </c>
      <c r="L14" s="868"/>
      <c r="M14" s="868"/>
      <c r="N14" s="868"/>
      <c r="O14" s="868"/>
      <c r="P14" s="868"/>
      <c r="Q14" s="868"/>
      <c r="R14" s="868"/>
      <c r="S14" s="868"/>
      <c r="T14" s="868"/>
      <c r="U14" s="920"/>
      <c r="V14" s="868"/>
      <c r="W14" s="868"/>
      <c r="X14" s="868"/>
      <c r="Y14" s="868"/>
      <c r="Z14" s="868"/>
      <c r="AA14" s="868"/>
      <c r="AB14" s="868"/>
    </row>
    <row r="15" spans="1:28" ht="14.25">
      <c r="A15" s="868"/>
      <c r="B15" s="919" t="s">
        <v>713</v>
      </c>
      <c r="C15" s="897"/>
      <c r="D15" s="897"/>
      <c r="E15" s="897"/>
      <c r="F15" s="897"/>
      <c r="G15" s="897"/>
      <c r="H15" s="897"/>
      <c r="I15" s="897"/>
      <c r="J15" s="921"/>
      <c r="K15" s="920"/>
      <c r="L15" s="868"/>
      <c r="M15" s="868"/>
      <c r="N15" s="868"/>
      <c r="O15" s="868"/>
      <c r="P15" s="868"/>
      <c r="Q15" s="868"/>
      <c r="R15" s="868"/>
      <c r="S15" s="868"/>
      <c r="T15" s="868"/>
      <c r="U15" s="868"/>
      <c r="V15" s="868"/>
      <c r="W15" s="868"/>
      <c r="X15" s="868"/>
      <c r="Y15" s="868"/>
      <c r="Z15" s="868"/>
      <c r="AA15" s="868"/>
      <c r="AB15" s="868"/>
    </row>
    <row r="16" spans="1:28" ht="15">
      <c r="A16" s="868"/>
      <c r="B16" s="919" t="s">
        <v>712</v>
      </c>
      <c r="C16" s="897"/>
      <c r="D16" s="897"/>
      <c r="E16" s="897"/>
      <c r="F16" s="897"/>
      <c r="G16" s="897"/>
      <c r="H16" s="897"/>
      <c r="I16" s="897"/>
      <c r="J16" s="868"/>
      <c r="K16" s="918" t="s">
        <v>711</v>
      </c>
      <c r="L16" s="868"/>
      <c r="M16" s="868"/>
      <c r="N16" s="868"/>
      <c r="O16" s="868"/>
      <c r="P16" s="868"/>
      <c r="Q16" s="868"/>
      <c r="R16" s="868"/>
      <c r="S16" s="868"/>
      <c r="T16" s="868"/>
      <c r="U16" s="868"/>
      <c r="V16" s="868"/>
      <c r="W16" s="868"/>
      <c r="X16" s="868"/>
      <c r="Y16" s="868"/>
      <c r="Z16" s="868"/>
      <c r="AA16" s="868"/>
      <c r="AB16" s="868"/>
    </row>
    <row r="17" spans="1:28" ht="14.25">
      <c r="A17" s="868"/>
      <c r="B17" s="919" t="s">
        <v>710</v>
      </c>
      <c r="C17" s="897"/>
      <c r="D17" s="897"/>
      <c r="E17" s="897"/>
      <c r="F17" s="897"/>
      <c r="G17" s="897"/>
      <c r="H17" s="897"/>
      <c r="I17" s="897"/>
      <c r="J17" s="868"/>
      <c r="K17" s="868"/>
      <c r="L17" s="868"/>
      <c r="M17" s="868"/>
      <c r="N17" s="868"/>
      <c r="O17" s="868"/>
      <c r="P17" s="868"/>
      <c r="Q17" s="868"/>
      <c r="R17" s="868"/>
      <c r="S17" s="868"/>
      <c r="T17" s="868"/>
      <c r="U17" s="868"/>
      <c r="V17" s="868"/>
      <c r="W17" s="868"/>
      <c r="X17" s="868"/>
      <c r="Y17" s="868"/>
      <c r="Z17" s="868"/>
      <c r="AA17" s="868"/>
      <c r="AB17" s="868"/>
    </row>
    <row r="18" spans="1:28" ht="15">
      <c r="A18" s="868"/>
      <c r="B18" s="919" t="s">
        <v>709</v>
      </c>
      <c r="C18" s="897"/>
      <c r="D18" s="897"/>
      <c r="E18" s="897"/>
      <c r="F18" s="897"/>
      <c r="G18" s="897"/>
      <c r="H18" s="897"/>
      <c r="I18" s="897"/>
      <c r="J18" s="868"/>
      <c r="K18" s="918"/>
      <c r="L18" s="917"/>
      <c r="M18" s="917"/>
      <c r="N18" s="917"/>
      <c r="O18" s="917"/>
      <c r="P18" s="917"/>
      <c r="Q18" s="917"/>
      <c r="R18" s="917"/>
      <c r="S18" s="868"/>
      <c r="T18" s="916" t="s">
        <v>708</v>
      </c>
      <c r="U18" s="915"/>
      <c r="V18" s="915"/>
      <c r="W18" s="915"/>
      <c r="X18" s="915"/>
      <c r="Y18" s="915"/>
      <c r="Z18" s="915"/>
      <c r="AA18" s="915"/>
      <c r="AB18" s="868"/>
    </row>
    <row r="19" spans="1:28" ht="15">
      <c r="A19" s="868"/>
      <c r="B19" s="897"/>
      <c r="C19" s="897"/>
      <c r="D19" s="897"/>
      <c r="E19" s="897"/>
      <c r="F19" s="897"/>
      <c r="G19" s="897"/>
      <c r="H19" s="897"/>
      <c r="I19" s="897"/>
      <c r="J19" s="868"/>
      <c r="K19" s="868"/>
      <c r="L19" s="868"/>
      <c r="M19" s="868"/>
      <c r="N19" s="868"/>
      <c r="O19" s="868"/>
      <c r="P19" s="868"/>
      <c r="Q19" s="868"/>
      <c r="R19" s="868"/>
      <c r="S19" s="868"/>
      <c r="T19" s="915" t="s">
        <v>707</v>
      </c>
      <c r="U19" s="880"/>
      <c r="V19" s="880"/>
      <c r="W19" s="880"/>
      <c r="X19" s="880"/>
      <c r="Y19" s="880"/>
      <c r="Z19" s="880"/>
      <c r="AA19" s="880"/>
      <c r="AB19" s="868"/>
    </row>
    <row r="20" spans="1:28" ht="15">
      <c r="A20" s="868"/>
      <c r="B20" s="902"/>
      <c r="C20" s="897"/>
      <c r="D20" s="897"/>
      <c r="E20" s="897"/>
      <c r="F20" s="897"/>
      <c r="G20" s="897"/>
      <c r="H20" s="897"/>
      <c r="I20" s="897"/>
      <c r="J20" s="868"/>
      <c r="K20" s="868"/>
      <c r="L20" s="868"/>
      <c r="M20" s="868"/>
      <c r="N20" s="868"/>
      <c r="O20" s="868"/>
      <c r="P20" s="868"/>
      <c r="Q20" s="868"/>
      <c r="R20" s="868"/>
      <c r="S20" s="868"/>
      <c r="T20" s="915" t="s">
        <v>706</v>
      </c>
      <c r="U20" s="880"/>
      <c r="V20" s="880"/>
      <c r="W20" s="880"/>
      <c r="X20" s="880"/>
      <c r="Y20" s="880"/>
      <c r="Z20" s="880"/>
      <c r="AA20" s="880"/>
      <c r="AB20" s="868"/>
    </row>
    <row r="21" spans="1:28" ht="15">
      <c r="A21" s="868"/>
      <c r="B21" s="902" t="s">
        <v>705</v>
      </c>
      <c r="C21" s="897"/>
      <c r="D21" s="897"/>
      <c r="E21" s="897"/>
      <c r="F21" s="897"/>
      <c r="G21" s="897"/>
      <c r="H21" s="897"/>
      <c r="I21" s="897"/>
      <c r="J21" s="868"/>
      <c r="K21" s="868"/>
      <c r="L21" s="868"/>
      <c r="M21" s="868"/>
      <c r="N21" s="868"/>
      <c r="O21" s="868"/>
      <c r="P21" s="868"/>
      <c r="Q21" s="868"/>
      <c r="R21" s="868"/>
      <c r="S21" s="868"/>
      <c r="T21" s="880"/>
      <c r="U21" s="880"/>
      <c r="V21" s="880"/>
      <c r="W21" s="880"/>
      <c r="X21" s="880"/>
      <c r="Y21" s="880"/>
      <c r="Z21" s="880"/>
      <c r="AA21" s="880"/>
      <c r="AB21" s="868"/>
    </row>
    <row r="22" spans="1:28" ht="15">
      <c r="A22" s="868"/>
      <c r="B22" s="897" t="s">
        <v>704</v>
      </c>
      <c r="C22" s="897"/>
      <c r="D22" s="897"/>
      <c r="E22" s="897"/>
      <c r="F22" s="897"/>
      <c r="G22" s="897"/>
      <c r="H22" s="897"/>
      <c r="I22" s="897"/>
      <c r="J22" s="868"/>
      <c r="K22" s="868"/>
      <c r="L22" s="868"/>
      <c r="M22" s="868"/>
      <c r="N22" s="868"/>
      <c r="O22" s="868"/>
      <c r="P22" s="868"/>
      <c r="Q22" s="868"/>
      <c r="R22" s="868"/>
      <c r="S22" s="868"/>
      <c r="T22" s="880" t="s">
        <v>65</v>
      </c>
      <c r="U22" s="880" t="s">
        <v>703</v>
      </c>
      <c r="V22" s="880"/>
      <c r="W22" s="880"/>
      <c r="X22" s="880"/>
      <c r="Y22" s="880" t="s">
        <v>702</v>
      </c>
      <c r="Z22" s="880"/>
      <c r="AA22" s="880"/>
      <c r="AB22" s="868"/>
    </row>
    <row r="23" spans="1:28" ht="15">
      <c r="A23" s="868"/>
      <c r="B23" s="902"/>
      <c r="C23" s="897"/>
      <c r="D23" s="897"/>
      <c r="E23" s="897"/>
      <c r="F23" s="897"/>
      <c r="G23" s="897"/>
      <c r="H23" s="897"/>
      <c r="I23" s="897"/>
      <c r="J23" s="868"/>
      <c r="K23" s="868"/>
      <c r="L23" s="868"/>
      <c r="M23" s="868"/>
      <c r="N23" s="868"/>
      <c r="O23" s="868"/>
      <c r="P23" s="868"/>
      <c r="Q23" s="868"/>
      <c r="R23" s="868"/>
      <c r="S23" s="868"/>
      <c r="T23" s="880"/>
      <c r="U23" s="880" t="s">
        <v>701</v>
      </c>
      <c r="V23" s="880" t="s">
        <v>700</v>
      </c>
      <c r="W23" s="880" t="s">
        <v>699</v>
      </c>
      <c r="X23" s="880" t="s">
        <v>698</v>
      </c>
      <c r="Y23" s="914" t="s">
        <v>698</v>
      </c>
      <c r="Z23" s="880"/>
      <c r="AA23" s="880"/>
      <c r="AB23" s="868"/>
    </row>
    <row r="24" spans="1:28" ht="15.75" thickBot="1">
      <c r="A24" s="868"/>
      <c r="B24" s="897" t="s">
        <v>602</v>
      </c>
      <c r="C24" s="897" t="s">
        <v>697</v>
      </c>
      <c r="D24" s="897"/>
      <c r="E24" s="897"/>
      <c r="F24" s="906">
        <v>9.23</v>
      </c>
      <c r="G24" s="905" t="s">
        <v>590</v>
      </c>
      <c r="H24" s="897"/>
      <c r="I24" s="897"/>
      <c r="J24" s="868"/>
      <c r="K24" s="868"/>
      <c r="L24" s="868"/>
      <c r="M24" s="868"/>
      <c r="N24" s="868"/>
      <c r="O24" s="868"/>
      <c r="P24" s="868"/>
      <c r="Q24" s="868"/>
      <c r="R24" s="868"/>
      <c r="S24" s="868"/>
      <c r="T24" s="880"/>
      <c r="U24" s="913"/>
      <c r="V24" s="913"/>
      <c r="W24" s="913"/>
      <c r="X24" s="880"/>
      <c r="Y24" s="880"/>
      <c r="Z24" s="880"/>
      <c r="AA24" s="880"/>
      <c r="AB24" s="868"/>
    </row>
    <row r="25" spans="1:28" ht="15.75" thickBot="1">
      <c r="A25" s="868"/>
      <c r="B25" s="897" t="s">
        <v>599</v>
      </c>
      <c r="C25" s="897" t="s">
        <v>696</v>
      </c>
      <c r="D25" s="897"/>
      <c r="E25" s="912"/>
      <c r="F25" s="906"/>
      <c r="G25" s="911"/>
      <c r="H25" s="897"/>
      <c r="I25" s="897"/>
      <c r="J25" s="868"/>
      <c r="K25" s="868"/>
      <c r="L25" s="868"/>
      <c r="M25" s="868"/>
      <c r="N25" s="868"/>
      <c r="O25" s="868"/>
      <c r="P25" s="868"/>
      <c r="Q25" s="868"/>
      <c r="R25" s="868"/>
      <c r="S25" s="868"/>
      <c r="T25" s="910" t="s">
        <v>695</v>
      </c>
      <c r="U25" s="909">
        <v>19.5</v>
      </c>
      <c r="V25" s="909">
        <v>18.5</v>
      </c>
      <c r="W25" s="909">
        <v>16.5</v>
      </c>
      <c r="X25" s="909">
        <v>13.5</v>
      </c>
      <c r="Y25" s="908">
        <v>13.5</v>
      </c>
      <c r="Z25" s="880"/>
      <c r="AA25" s="880"/>
      <c r="AB25" s="868"/>
    </row>
    <row r="26" spans="1:28" ht="15">
      <c r="A26" s="868"/>
      <c r="B26" s="897"/>
      <c r="C26" s="897"/>
      <c r="D26" s="897" t="s">
        <v>597</v>
      </c>
      <c r="E26" s="897"/>
      <c r="F26" s="906">
        <v>13.15</v>
      </c>
      <c r="G26" s="905" t="s">
        <v>590</v>
      </c>
      <c r="H26" s="897"/>
      <c r="I26" s="897"/>
      <c r="J26" s="868"/>
      <c r="K26" s="868"/>
      <c r="L26" s="868"/>
      <c r="M26" s="868"/>
      <c r="N26" s="868"/>
      <c r="O26" s="868"/>
      <c r="P26" s="868"/>
      <c r="Q26" s="868"/>
      <c r="R26" s="868"/>
      <c r="S26" s="868"/>
      <c r="T26" s="890" t="s">
        <v>596</v>
      </c>
      <c r="U26" s="907"/>
      <c r="V26" s="888"/>
      <c r="W26" s="889">
        <v>0.01</v>
      </c>
      <c r="X26" s="888"/>
      <c r="Y26" s="887"/>
      <c r="Z26" s="880"/>
      <c r="AA26" s="880"/>
      <c r="AB26" s="868"/>
    </row>
    <row r="27" spans="1:28" ht="15">
      <c r="A27" s="868"/>
      <c r="B27" s="897"/>
      <c r="C27" s="897"/>
      <c r="D27" s="897" t="s">
        <v>595</v>
      </c>
      <c r="E27" s="897"/>
      <c r="F27" s="906">
        <v>12.8</v>
      </c>
      <c r="G27" s="905" t="s">
        <v>590</v>
      </c>
      <c r="H27" s="897"/>
      <c r="I27" s="897"/>
      <c r="J27" s="868"/>
      <c r="K27" s="868"/>
      <c r="L27" s="868"/>
      <c r="M27" s="868"/>
      <c r="N27" s="868"/>
      <c r="O27" s="868"/>
      <c r="P27" s="868"/>
      <c r="Q27" s="868"/>
      <c r="R27" s="868"/>
      <c r="S27" s="868"/>
      <c r="T27" s="898" t="s">
        <v>694</v>
      </c>
      <c r="U27" s="885">
        <v>19.305</v>
      </c>
      <c r="V27" s="885">
        <v>18.315</v>
      </c>
      <c r="W27" s="885">
        <v>16.335</v>
      </c>
      <c r="X27" s="885">
        <v>13.365</v>
      </c>
      <c r="Y27" s="884">
        <v>13.365</v>
      </c>
      <c r="Z27" s="880"/>
      <c r="AA27" s="880"/>
      <c r="AB27" s="868"/>
    </row>
    <row r="28" spans="1:28" ht="15.75" thickBot="1">
      <c r="A28" s="868"/>
      <c r="B28" s="897"/>
      <c r="C28" s="897"/>
      <c r="D28" s="897" t="s">
        <v>593</v>
      </c>
      <c r="E28" s="897"/>
      <c r="F28" s="906">
        <v>11.49</v>
      </c>
      <c r="G28" s="905" t="s">
        <v>590</v>
      </c>
      <c r="H28" s="897"/>
      <c r="I28" s="897"/>
      <c r="J28" s="868"/>
      <c r="K28" s="868"/>
      <c r="L28" s="868"/>
      <c r="M28" s="868"/>
      <c r="N28" s="868"/>
      <c r="O28" s="868"/>
      <c r="P28" s="868"/>
      <c r="Q28" s="868"/>
      <c r="R28" s="868"/>
      <c r="S28" s="868"/>
      <c r="T28" s="883" t="s">
        <v>592</v>
      </c>
      <c r="U28" s="882">
        <v>19.305</v>
      </c>
      <c r="V28" s="882">
        <v>18.315</v>
      </c>
      <c r="W28" s="882">
        <v>16.335</v>
      </c>
      <c r="X28" s="882">
        <v>13.365</v>
      </c>
      <c r="Y28" s="881">
        <v>13.365</v>
      </c>
      <c r="Z28" s="880"/>
      <c r="AA28" s="880"/>
      <c r="AB28" s="868"/>
    </row>
    <row r="29" spans="1:28" ht="15">
      <c r="A29" s="868"/>
      <c r="B29" s="897"/>
      <c r="C29" s="897"/>
      <c r="D29" s="897" t="s">
        <v>591</v>
      </c>
      <c r="E29" s="897"/>
      <c r="F29" s="906">
        <v>9.23</v>
      </c>
      <c r="G29" s="905" t="s">
        <v>590</v>
      </c>
      <c r="H29" s="897"/>
      <c r="I29" s="897"/>
      <c r="J29" s="868"/>
      <c r="K29" s="868"/>
      <c r="L29" s="868"/>
      <c r="M29" s="868"/>
      <c r="N29" s="868"/>
      <c r="O29" s="868"/>
      <c r="P29" s="868"/>
      <c r="Q29" s="868"/>
      <c r="R29" s="868"/>
      <c r="S29" s="868"/>
      <c r="T29" s="890" t="s">
        <v>596</v>
      </c>
      <c r="U29" s="907"/>
      <c r="V29" s="888"/>
      <c r="W29" s="889">
        <v>0.01</v>
      </c>
      <c r="X29" s="888"/>
      <c r="Y29" s="887"/>
      <c r="Z29" s="880"/>
      <c r="AA29" s="880"/>
      <c r="AB29" s="868"/>
    </row>
    <row r="30" spans="1:28" ht="15">
      <c r="A30" s="868"/>
      <c r="B30" s="897"/>
      <c r="C30" s="897"/>
      <c r="D30" s="897"/>
      <c r="E30" s="897"/>
      <c r="F30" s="906"/>
      <c r="G30" s="905"/>
      <c r="H30" s="897"/>
      <c r="I30" s="897"/>
      <c r="J30" s="868"/>
      <c r="K30" s="868"/>
      <c r="L30" s="868"/>
      <c r="M30" s="868"/>
      <c r="N30" s="868"/>
      <c r="O30" s="868"/>
      <c r="P30" s="868"/>
      <c r="Q30" s="868"/>
      <c r="R30" s="868"/>
      <c r="S30" s="868"/>
      <c r="T30" s="898" t="s">
        <v>693</v>
      </c>
      <c r="U30" s="885">
        <v>19.11195</v>
      </c>
      <c r="V30" s="885">
        <v>18.13185</v>
      </c>
      <c r="W30" s="885">
        <v>16.17165</v>
      </c>
      <c r="X30" s="885">
        <v>13.23135</v>
      </c>
      <c r="Y30" s="884">
        <v>13.23135</v>
      </c>
      <c r="Z30" s="880"/>
      <c r="AA30" s="880"/>
      <c r="AB30" s="868"/>
    </row>
    <row r="31" spans="1:28" ht="15.75" thickBot="1">
      <c r="A31" s="868"/>
      <c r="B31" s="897"/>
      <c r="C31" s="897"/>
      <c r="D31" s="897"/>
      <c r="E31" s="897"/>
      <c r="F31" s="906"/>
      <c r="G31" s="905"/>
      <c r="H31" s="897"/>
      <c r="I31" s="897"/>
      <c r="J31" s="868"/>
      <c r="K31" s="868"/>
      <c r="L31" s="868"/>
      <c r="M31" s="868"/>
      <c r="N31" s="868"/>
      <c r="O31" s="868"/>
      <c r="P31" s="868"/>
      <c r="Q31" s="868"/>
      <c r="R31" s="868"/>
      <c r="S31" s="868"/>
      <c r="T31" s="883" t="s">
        <v>592</v>
      </c>
      <c r="U31" s="882">
        <v>19.11195</v>
      </c>
      <c r="V31" s="882">
        <v>18.13185</v>
      </c>
      <c r="W31" s="882">
        <v>16.17165</v>
      </c>
      <c r="X31" s="882">
        <v>13.23135</v>
      </c>
      <c r="Y31" s="881">
        <v>13.23135</v>
      </c>
      <c r="Z31" s="880"/>
      <c r="AA31" s="880"/>
      <c r="AB31" s="868"/>
    </row>
    <row r="32" spans="1:28" ht="14.25">
      <c r="A32" s="868"/>
      <c r="B32" s="897"/>
      <c r="C32" s="897"/>
      <c r="D32" s="897"/>
      <c r="E32" s="897"/>
      <c r="F32" s="897"/>
      <c r="G32" s="897"/>
      <c r="H32" s="897"/>
      <c r="I32" s="897"/>
      <c r="J32" s="868"/>
      <c r="K32" s="868"/>
      <c r="L32" s="868"/>
      <c r="M32" s="868"/>
      <c r="N32" s="868"/>
      <c r="O32" s="868"/>
      <c r="P32" s="868"/>
      <c r="Q32" s="868"/>
      <c r="R32" s="868"/>
      <c r="S32" s="868"/>
      <c r="T32" s="890" t="s">
        <v>596</v>
      </c>
      <c r="U32" s="888"/>
      <c r="V32" s="888"/>
      <c r="W32" s="889">
        <v>0.01</v>
      </c>
      <c r="X32" s="888"/>
      <c r="Y32" s="887"/>
      <c r="Z32" s="880"/>
      <c r="AA32" s="880"/>
      <c r="AB32" s="868"/>
    </row>
    <row r="33" spans="1:28" ht="15">
      <c r="A33" s="868"/>
      <c r="B33" s="902" t="s">
        <v>614</v>
      </c>
      <c r="C33" s="897"/>
      <c r="D33" s="897"/>
      <c r="E33" s="897"/>
      <c r="F33" s="897"/>
      <c r="G33" s="897"/>
      <c r="H33" s="897"/>
      <c r="I33" s="897"/>
      <c r="J33" s="868"/>
      <c r="K33" s="868"/>
      <c r="L33" s="868"/>
      <c r="M33" s="868"/>
      <c r="N33" s="868"/>
      <c r="O33" s="868"/>
      <c r="P33" s="868"/>
      <c r="Q33" s="868"/>
      <c r="R33" s="868"/>
      <c r="S33" s="868"/>
      <c r="T33" s="898" t="s">
        <v>692</v>
      </c>
      <c r="U33" s="885">
        <v>18.9208305</v>
      </c>
      <c r="V33" s="885">
        <v>17.9505315</v>
      </c>
      <c r="W33" s="885">
        <v>16.0099335</v>
      </c>
      <c r="X33" s="885">
        <v>13.0990365</v>
      </c>
      <c r="Y33" s="884">
        <v>13.0990365</v>
      </c>
      <c r="Z33" s="880"/>
      <c r="AA33" s="880"/>
      <c r="AB33" s="868"/>
    </row>
    <row r="34" spans="1:28" ht="15" thickBot="1">
      <c r="A34" s="868"/>
      <c r="B34" s="897" t="s">
        <v>691</v>
      </c>
      <c r="C34" s="897"/>
      <c r="D34" s="897"/>
      <c r="E34" s="897"/>
      <c r="F34" s="897"/>
      <c r="G34" s="897"/>
      <c r="H34" s="897"/>
      <c r="I34" s="897"/>
      <c r="J34" s="868"/>
      <c r="K34" s="868"/>
      <c r="L34" s="868"/>
      <c r="M34" s="868"/>
      <c r="N34" s="868"/>
      <c r="O34" s="868"/>
      <c r="P34" s="868"/>
      <c r="Q34" s="868"/>
      <c r="R34" s="868"/>
      <c r="S34" s="868"/>
      <c r="T34" s="883" t="s">
        <v>592</v>
      </c>
      <c r="U34" s="882">
        <v>18.9208305</v>
      </c>
      <c r="V34" s="882">
        <v>17.9505315</v>
      </c>
      <c r="W34" s="882">
        <v>16.0099335</v>
      </c>
      <c r="X34" s="882">
        <v>13.0990365</v>
      </c>
      <c r="Y34" s="881">
        <v>13.0990365</v>
      </c>
      <c r="Z34" s="880"/>
      <c r="AA34" s="880"/>
      <c r="AB34" s="868"/>
    </row>
    <row r="35" spans="1:28" ht="14.25">
      <c r="A35" s="868"/>
      <c r="B35" s="897" t="s">
        <v>690</v>
      </c>
      <c r="C35" s="897"/>
      <c r="D35" s="897"/>
      <c r="E35" s="897"/>
      <c r="F35" s="897"/>
      <c r="G35" s="897"/>
      <c r="H35" s="897"/>
      <c r="I35" s="897"/>
      <c r="J35" s="868"/>
      <c r="K35" s="868"/>
      <c r="L35" s="868"/>
      <c r="M35" s="868"/>
      <c r="N35" s="868"/>
      <c r="O35" s="868"/>
      <c r="P35" s="868"/>
      <c r="Q35" s="868"/>
      <c r="R35" s="868"/>
      <c r="S35" s="868"/>
      <c r="T35" s="890" t="s">
        <v>596</v>
      </c>
      <c r="U35" s="888"/>
      <c r="V35" s="888"/>
      <c r="W35" s="889">
        <v>0.01</v>
      </c>
      <c r="X35" s="888"/>
      <c r="Y35" s="887"/>
      <c r="Z35" s="880"/>
      <c r="AA35" s="880"/>
      <c r="AB35" s="868"/>
    </row>
    <row r="36" spans="1:28" ht="14.25">
      <c r="A36" s="868"/>
      <c r="B36" s="897" t="s">
        <v>689</v>
      </c>
      <c r="C36" s="897"/>
      <c r="D36" s="897"/>
      <c r="E36" s="897"/>
      <c r="F36" s="897"/>
      <c r="G36" s="897"/>
      <c r="H36" s="897"/>
      <c r="I36" s="897"/>
      <c r="J36" s="868"/>
      <c r="K36" s="868"/>
      <c r="L36" s="868"/>
      <c r="M36" s="868"/>
      <c r="N36" s="868"/>
      <c r="O36" s="868"/>
      <c r="P36" s="868"/>
      <c r="Q36" s="868"/>
      <c r="R36" s="868"/>
      <c r="S36" s="868"/>
      <c r="T36" s="898" t="s">
        <v>688</v>
      </c>
      <c r="U36" s="885">
        <v>18.731622195</v>
      </c>
      <c r="V36" s="885">
        <v>17.771026185</v>
      </c>
      <c r="W36" s="885">
        <v>15.849834164999999</v>
      </c>
      <c r="X36" s="885">
        <v>12.968046135</v>
      </c>
      <c r="Y36" s="884">
        <v>12.968046135</v>
      </c>
      <c r="Z36" s="880"/>
      <c r="AA36" s="880"/>
      <c r="AB36" s="868"/>
    </row>
    <row r="37" spans="1:28" ht="15" thickBot="1">
      <c r="A37" s="868"/>
      <c r="B37" s="897"/>
      <c r="C37" s="897"/>
      <c r="D37" s="897"/>
      <c r="E37" s="897"/>
      <c r="F37" s="897"/>
      <c r="G37" s="897"/>
      <c r="H37" s="897"/>
      <c r="I37" s="897"/>
      <c r="J37" s="868"/>
      <c r="K37" s="868"/>
      <c r="L37" s="868"/>
      <c r="M37" s="868"/>
      <c r="N37" s="868"/>
      <c r="O37" s="868"/>
      <c r="P37" s="868"/>
      <c r="Q37" s="868"/>
      <c r="R37" s="868"/>
      <c r="S37" s="868"/>
      <c r="T37" s="883" t="s">
        <v>592</v>
      </c>
      <c r="U37" s="882">
        <v>18.731622195</v>
      </c>
      <c r="V37" s="882">
        <v>17.771026185</v>
      </c>
      <c r="W37" s="882">
        <v>15.849834164999999</v>
      </c>
      <c r="X37" s="882">
        <v>12.968046135</v>
      </c>
      <c r="Y37" s="881">
        <v>12.968046135</v>
      </c>
      <c r="Z37" s="880"/>
      <c r="AA37" s="880"/>
      <c r="AB37" s="868"/>
    </row>
    <row r="38" spans="1:28" ht="14.25">
      <c r="A38" s="868"/>
      <c r="B38" s="897" t="s">
        <v>615</v>
      </c>
      <c r="C38" s="897" t="s">
        <v>614</v>
      </c>
      <c r="D38" s="897"/>
      <c r="E38" s="897"/>
      <c r="F38" s="897"/>
      <c r="G38" s="897"/>
      <c r="H38" s="897"/>
      <c r="I38" s="897"/>
      <c r="J38" s="868"/>
      <c r="K38" s="868"/>
      <c r="L38" s="868"/>
      <c r="M38" s="868"/>
      <c r="N38" s="868"/>
      <c r="O38" s="868"/>
      <c r="P38" s="868"/>
      <c r="Q38" s="868"/>
      <c r="R38" s="868"/>
      <c r="S38" s="868"/>
      <c r="T38" s="890" t="s">
        <v>596</v>
      </c>
      <c r="U38" s="888"/>
      <c r="V38" s="888"/>
      <c r="W38" s="889">
        <v>0.01</v>
      </c>
      <c r="X38" s="888"/>
      <c r="Y38" s="887"/>
      <c r="Z38" s="880"/>
      <c r="AA38" s="880"/>
      <c r="AB38" s="868"/>
    </row>
    <row r="39" spans="1:28" ht="15">
      <c r="A39" s="868"/>
      <c r="B39" s="897" t="s">
        <v>613</v>
      </c>
      <c r="C39" s="897" t="s">
        <v>612</v>
      </c>
      <c r="D39" s="897"/>
      <c r="E39" s="905" t="s">
        <v>611</v>
      </c>
      <c r="F39" s="905"/>
      <c r="G39" s="905" t="s">
        <v>610</v>
      </c>
      <c r="H39" s="897"/>
      <c r="I39" s="897"/>
      <c r="J39" s="868"/>
      <c r="K39" s="868"/>
      <c r="L39" s="868"/>
      <c r="M39" s="868"/>
      <c r="N39" s="868"/>
      <c r="O39" s="868"/>
      <c r="P39" s="868"/>
      <c r="Q39" s="868"/>
      <c r="R39" s="868"/>
      <c r="S39" s="868"/>
      <c r="T39" s="898" t="s">
        <v>687</v>
      </c>
      <c r="U39" s="885">
        <v>18.54430597305</v>
      </c>
      <c r="V39" s="885">
        <v>17.59331592315</v>
      </c>
      <c r="W39" s="885">
        <v>15.691335823349998</v>
      </c>
      <c r="X39" s="885">
        <v>12.83836567365</v>
      </c>
      <c r="Y39" s="884">
        <v>12.83836567365</v>
      </c>
      <c r="Z39" s="880"/>
      <c r="AA39" s="880"/>
      <c r="AB39" s="868"/>
    </row>
    <row r="40" spans="1:28" ht="15.75" thickBot="1">
      <c r="A40" s="868"/>
      <c r="B40" s="897"/>
      <c r="C40" s="897"/>
      <c r="D40" s="897"/>
      <c r="E40" s="905" t="s">
        <v>609</v>
      </c>
      <c r="F40" s="905"/>
      <c r="G40" s="905" t="s">
        <v>608</v>
      </c>
      <c r="H40" s="897"/>
      <c r="I40" s="897"/>
      <c r="J40" s="868"/>
      <c r="K40" s="868"/>
      <c r="L40" s="868"/>
      <c r="M40" s="868"/>
      <c r="N40" s="868"/>
      <c r="O40" s="868"/>
      <c r="P40" s="868"/>
      <c r="Q40" s="868"/>
      <c r="R40" s="868"/>
      <c r="S40" s="868"/>
      <c r="T40" s="883" t="s">
        <v>592</v>
      </c>
      <c r="U40" s="882">
        <v>18.54430597305</v>
      </c>
      <c r="V40" s="882">
        <v>17.59331592315</v>
      </c>
      <c r="W40" s="882">
        <v>15.691335823349998</v>
      </c>
      <c r="X40" s="882">
        <v>12.83836567365</v>
      </c>
      <c r="Y40" s="881">
        <v>12.83836567365</v>
      </c>
      <c r="Z40" s="880"/>
      <c r="AA40" s="880"/>
      <c r="AB40" s="868"/>
    </row>
    <row r="41" spans="1:28" ht="14.25">
      <c r="A41" s="868"/>
      <c r="B41" s="897" t="s">
        <v>607</v>
      </c>
      <c r="C41" s="897" t="s">
        <v>606</v>
      </c>
      <c r="D41" s="897"/>
      <c r="E41" s="897"/>
      <c r="F41" s="897"/>
      <c r="G41" s="897"/>
      <c r="H41" s="897"/>
      <c r="I41" s="897"/>
      <c r="J41" s="868"/>
      <c r="K41" s="868"/>
      <c r="L41" s="868"/>
      <c r="M41" s="868"/>
      <c r="N41" s="868"/>
      <c r="O41" s="868"/>
      <c r="P41" s="868"/>
      <c r="Q41" s="868"/>
      <c r="R41" s="868"/>
      <c r="S41" s="868"/>
      <c r="T41" s="890" t="s">
        <v>596</v>
      </c>
      <c r="U41" s="888"/>
      <c r="V41" s="888"/>
      <c r="W41" s="889">
        <v>0.01</v>
      </c>
      <c r="X41" s="888"/>
      <c r="Y41" s="887"/>
      <c r="Z41" s="880"/>
      <c r="AA41" s="880"/>
      <c r="AB41" s="868"/>
    </row>
    <row r="42" spans="1:28" ht="15">
      <c r="A42" s="868"/>
      <c r="B42" s="897"/>
      <c r="C42" s="897" t="s">
        <v>604</v>
      </c>
      <c r="D42" s="897"/>
      <c r="E42" s="897"/>
      <c r="F42" s="905" t="s">
        <v>603</v>
      </c>
      <c r="G42" s="897"/>
      <c r="H42" s="897"/>
      <c r="I42" s="897"/>
      <c r="J42" s="868"/>
      <c r="K42" s="868"/>
      <c r="L42" s="868"/>
      <c r="M42" s="868"/>
      <c r="N42" s="868"/>
      <c r="O42" s="868"/>
      <c r="P42" s="868"/>
      <c r="Q42" s="868"/>
      <c r="R42" s="868"/>
      <c r="S42" s="868"/>
      <c r="T42" s="898" t="s">
        <v>686</v>
      </c>
      <c r="U42" s="885">
        <v>18.358862913319502</v>
      </c>
      <c r="V42" s="885">
        <v>17.4173827639185</v>
      </c>
      <c r="W42" s="885">
        <v>15.534422465116497</v>
      </c>
      <c r="X42" s="885">
        <v>12.7099820169135</v>
      </c>
      <c r="Y42" s="884">
        <v>12.7099820169135</v>
      </c>
      <c r="Z42" s="880"/>
      <c r="AA42" s="880"/>
      <c r="AB42" s="868"/>
    </row>
    <row r="43" spans="1:28" ht="15" thickBot="1">
      <c r="A43" s="868"/>
      <c r="B43" s="897"/>
      <c r="C43" s="897"/>
      <c r="D43" s="897"/>
      <c r="E43" s="897"/>
      <c r="F43" s="897"/>
      <c r="G43" s="897"/>
      <c r="H43" s="897"/>
      <c r="I43" s="897"/>
      <c r="J43" s="868"/>
      <c r="K43" s="868"/>
      <c r="L43" s="868"/>
      <c r="M43" s="868"/>
      <c r="N43" s="868"/>
      <c r="O43" s="868"/>
      <c r="P43" s="868"/>
      <c r="Q43" s="868"/>
      <c r="R43" s="868"/>
      <c r="S43" s="868"/>
      <c r="T43" s="883" t="s">
        <v>592</v>
      </c>
      <c r="U43" s="882">
        <v>18.358862913319502</v>
      </c>
      <c r="V43" s="882">
        <v>17.4173827639185</v>
      </c>
      <c r="W43" s="882">
        <v>15.534422465116497</v>
      </c>
      <c r="X43" s="882">
        <v>12.7099820169135</v>
      </c>
      <c r="Y43" s="881">
        <v>12.7099820169135</v>
      </c>
      <c r="Z43" s="880"/>
      <c r="AA43" s="880"/>
      <c r="AB43" s="868"/>
    </row>
    <row r="44" spans="1:28" ht="15" thickBot="1">
      <c r="A44" s="868"/>
      <c r="B44" s="897" t="s">
        <v>685</v>
      </c>
      <c r="C44" s="897"/>
      <c r="D44" s="897"/>
      <c r="E44" s="897"/>
      <c r="F44" s="897"/>
      <c r="G44" s="897"/>
      <c r="H44" s="897"/>
      <c r="I44" s="897"/>
      <c r="J44" s="868"/>
      <c r="K44" s="868"/>
      <c r="L44" s="868"/>
      <c r="M44" s="868"/>
      <c r="N44" s="868"/>
      <c r="O44" s="868"/>
      <c r="P44" s="868"/>
      <c r="Q44" s="868"/>
      <c r="R44" s="868"/>
      <c r="S44" s="868"/>
      <c r="T44" s="888"/>
      <c r="U44" s="888"/>
      <c r="V44" s="888"/>
      <c r="W44" s="904"/>
      <c r="X44" s="888"/>
      <c r="Y44" s="888"/>
      <c r="Z44" s="880"/>
      <c r="AA44" s="880"/>
      <c r="AB44" s="868"/>
    </row>
    <row r="45" spans="1:28" ht="15">
      <c r="A45" s="868"/>
      <c r="B45" s="897" t="s">
        <v>684</v>
      </c>
      <c r="C45" s="897"/>
      <c r="D45" s="897"/>
      <c r="E45" s="897"/>
      <c r="F45" s="897"/>
      <c r="G45" s="897"/>
      <c r="H45" s="897"/>
      <c r="I45" s="897"/>
      <c r="J45" s="868"/>
      <c r="K45" s="868"/>
      <c r="L45" s="868"/>
      <c r="M45" s="868"/>
      <c r="N45" s="868"/>
      <c r="O45" s="868"/>
      <c r="P45" s="868"/>
      <c r="Q45" s="868"/>
      <c r="R45" s="868"/>
      <c r="S45" s="868"/>
      <c r="T45" s="890" t="s">
        <v>596</v>
      </c>
      <c r="U45" s="888"/>
      <c r="V45" s="888"/>
      <c r="W45" s="889">
        <v>0.025</v>
      </c>
      <c r="X45" s="888"/>
      <c r="Y45" s="887"/>
      <c r="Z45" s="880"/>
      <c r="AA45" s="880"/>
      <c r="AB45" s="868"/>
    </row>
    <row r="46" spans="1:28" ht="14.25">
      <c r="A46" s="868"/>
      <c r="B46" s="897"/>
      <c r="C46" s="897"/>
      <c r="D46" s="897"/>
      <c r="E46" s="897"/>
      <c r="F46" s="897"/>
      <c r="G46" s="897"/>
      <c r="H46" s="897"/>
      <c r="I46" s="897"/>
      <c r="J46" s="868"/>
      <c r="K46" s="868"/>
      <c r="L46" s="868"/>
      <c r="M46" s="868"/>
      <c r="N46" s="868"/>
      <c r="O46" s="868"/>
      <c r="P46" s="868"/>
      <c r="Q46" s="868"/>
      <c r="R46" s="868"/>
      <c r="S46" s="868"/>
      <c r="T46" s="898" t="s">
        <v>683</v>
      </c>
      <c r="U46" s="885">
        <v>17.899891340486516</v>
      </c>
      <c r="V46" s="885">
        <v>16.981948194820536</v>
      </c>
      <c r="W46" s="885">
        <v>15.146061903488585</v>
      </c>
      <c r="X46" s="885">
        <v>12.392232466490663</v>
      </c>
      <c r="Y46" s="884">
        <v>12.392232466490663</v>
      </c>
      <c r="Z46" s="880"/>
      <c r="AA46" s="880"/>
      <c r="AB46" s="868"/>
    </row>
    <row r="47" spans="1:28" ht="15" thickBot="1">
      <c r="A47" s="868"/>
      <c r="B47" s="897"/>
      <c r="C47" s="897"/>
      <c r="D47" s="897"/>
      <c r="E47" s="897"/>
      <c r="F47" s="897"/>
      <c r="G47" s="897"/>
      <c r="H47" s="897"/>
      <c r="I47" s="897"/>
      <c r="J47" s="868"/>
      <c r="K47" s="868"/>
      <c r="L47" s="868"/>
      <c r="M47" s="868"/>
      <c r="N47" s="868"/>
      <c r="O47" s="868"/>
      <c r="P47" s="868"/>
      <c r="Q47" s="868"/>
      <c r="R47" s="868"/>
      <c r="S47" s="868"/>
      <c r="T47" s="883" t="s">
        <v>592</v>
      </c>
      <c r="U47" s="882">
        <v>17.899891340486516</v>
      </c>
      <c r="V47" s="882">
        <v>16.981948194820536</v>
      </c>
      <c r="W47" s="882">
        <v>15.146061903488585</v>
      </c>
      <c r="X47" s="882">
        <v>12.392232466490663</v>
      </c>
      <c r="Y47" s="881">
        <v>12.392232466490663</v>
      </c>
      <c r="Z47" s="880"/>
      <c r="AA47" s="880"/>
      <c r="AB47" s="868"/>
    </row>
    <row r="48" spans="1:28" ht="14.25">
      <c r="A48" s="868"/>
      <c r="B48" s="897"/>
      <c r="C48" s="897"/>
      <c r="D48" s="897"/>
      <c r="E48" s="897"/>
      <c r="F48" s="897"/>
      <c r="G48" s="897"/>
      <c r="H48" s="897"/>
      <c r="I48" s="897"/>
      <c r="J48" s="868"/>
      <c r="K48" s="868"/>
      <c r="L48" s="868"/>
      <c r="M48" s="868"/>
      <c r="N48" s="868"/>
      <c r="O48" s="868"/>
      <c r="P48" s="868"/>
      <c r="Q48" s="868"/>
      <c r="R48" s="868"/>
      <c r="S48" s="868"/>
      <c r="T48" s="890" t="s">
        <v>596</v>
      </c>
      <c r="U48" s="888"/>
      <c r="V48" s="888"/>
      <c r="W48" s="889">
        <v>0.025</v>
      </c>
      <c r="X48" s="888"/>
      <c r="Y48" s="887"/>
      <c r="Z48" s="880"/>
      <c r="AA48" s="880"/>
      <c r="AB48" s="868"/>
    </row>
    <row r="49" spans="1:28" ht="15">
      <c r="A49" s="868"/>
      <c r="B49" s="902" t="s">
        <v>682</v>
      </c>
      <c r="C49" s="897"/>
      <c r="D49" s="897"/>
      <c r="E49" s="897"/>
      <c r="F49" s="897"/>
      <c r="G49" s="897"/>
      <c r="H49" s="897"/>
      <c r="I49" s="897"/>
      <c r="J49" s="868"/>
      <c r="K49" s="868"/>
      <c r="L49" s="868"/>
      <c r="M49" s="868"/>
      <c r="N49" s="868"/>
      <c r="O49" s="868"/>
      <c r="P49" s="868"/>
      <c r="Q49" s="868"/>
      <c r="R49" s="868"/>
      <c r="S49" s="868"/>
      <c r="T49" s="898" t="s">
        <v>681</v>
      </c>
      <c r="U49" s="885">
        <v>17.452394056974352</v>
      </c>
      <c r="V49" s="885">
        <v>16.557399489950022</v>
      </c>
      <c r="W49" s="885">
        <v>14.76741035590137</v>
      </c>
      <c r="X49" s="885">
        <v>12.082426654828396</v>
      </c>
      <c r="Y49" s="884">
        <v>12.082426654828396</v>
      </c>
      <c r="Z49" s="880"/>
      <c r="AA49" s="880"/>
      <c r="AB49" s="868"/>
    </row>
    <row r="50" spans="1:28" ht="15" thickBot="1">
      <c r="A50" s="868"/>
      <c r="B50" s="897" t="s">
        <v>680</v>
      </c>
      <c r="C50" s="897"/>
      <c r="D50" s="897"/>
      <c r="E50" s="897"/>
      <c r="F50" s="897"/>
      <c r="G50" s="897"/>
      <c r="H50" s="897"/>
      <c r="I50" s="897"/>
      <c r="J50" s="868"/>
      <c r="K50" s="868"/>
      <c r="L50" s="868"/>
      <c r="M50" s="868"/>
      <c r="N50" s="868"/>
      <c r="O50" s="868"/>
      <c r="P50" s="868"/>
      <c r="Q50" s="868"/>
      <c r="R50" s="868"/>
      <c r="S50" s="868"/>
      <c r="T50" s="883" t="s">
        <v>592</v>
      </c>
      <c r="U50" s="882">
        <v>17.452394056974352</v>
      </c>
      <c r="V50" s="882">
        <v>16.557399489950022</v>
      </c>
      <c r="W50" s="882">
        <v>14.76741035590137</v>
      </c>
      <c r="X50" s="882">
        <v>12.082426654828396</v>
      </c>
      <c r="Y50" s="881">
        <v>12.082426654828396</v>
      </c>
      <c r="Z50" s="880"/>
      <c r="AA50" s="880"/>
      <c r="AB50" s="868"/>
    </row>
    <row r="51" spans="1:28" ht="14.25">
      <c r="A51" s="868"/>
      <c r="B51" s="897" t="s">
        <v>679</v>
      </c>
      <c r="C51" s="897"/>
      <c r="D51" s="897"/>
      <c r="E51" s="897"/>
      <c r="F51" s="897"/>
      <c r="G51" s="897"/>
      <c r="H51" s="897"/>
      <c r="I51" s="897"/>
      <c r="J51" s="868"/>
      <c r="K51" s="868"/>
      <c r="L51" s="868"/>
      <c r="M51" s="868"/>
      <c r="N51" s="868"/>
      <c r="O51" s="868"/>
      <c r="P51" s="868"/>
      <c r="Q51" s="868"/>
      <c r="R51" s="868"/>
      <c r="S51" s="868"/>
      <c r="T51" s="890" t="s">
        <v>596</v>
      </c>
      <c r="U51" s="888"/>
      <c r="V51" s="888"/>
      <c r="W51" s="889">
        <v>0.025</v>
      </c>
      <c r="X51" s="888"/>
      <c r="Y51" s="887"/>
      <c r="Z51" s="880"/>
      <c r="AA51" s="880"/>
      <c r="AB51" s="868"/>
    </row>
    <row r="52" spans="1:28" ht="14.25">
      <c r="A52" s="868"/>
      <c r="B52" s="897" t="s">
        <v>678</v>
      </c>
      <c r="C52" s="897"/>
      <c r="D52" s="897"/>
      <c r="E52" s="897"/>
      <c r="F52" s="897"/>
      <c r="G52" s="897"/>
      <c r="H52" s="903"/>
      <c r="I52" s="897"/>
      <c r="J52" s="868"/>
      <c r="K52" s="868"/>
      <c r="L52" s="868"/>
      <c r="M52" s="868"/>
      <c r="N52" s="868"/>
      <c r="O52" s="868"/>
      <c r="P52" s="868"/>
      <c r="Q52" s="868"/>
      <c r="R52" s="868"/>
      <c r="S52" s="868"/>
      <c r="T52" s="898" t="s">
        <v>677</v>
      </c>
      <c r="U52" s="885">
        <v>17.016084205549994</v>
      </c>
      <c r="V52" s="885">
        <v>16.14346450270127</v>
      </c>
      <c r="W52" s="885">
        <v>14.398225097003836</v>
      </c>
      <c r="X52" s="885">
        <v>11.780365988457685</v>
      </c>
      <c r="Y52" s="884">
        <v>11.780365988457685</v>
      </c>
      <c r="Z52" s="880"/>
      <c r="AA52" s="880"/>
      <c r="AB52" s="868"/>
    </row>
    <row r="53" spans="1:28" ht="15" thickBot="1">
      <c r="A53" s="868"/>
      <c r="B53" s="897" t="s">
        <v>676</v>
      </c>
      <c r="C53" s="897"/>
      <c r="D53" s="897"/>
      <c r="E53" s="897"/>
      <c r="F53" s="897"/>
      <c r="G53" s="897"/>
      <c r="H53" s="903"/>
      <c r="I53" s="897"/>
      <c r="J53" s="868"/>
      <c r="K53" s="868"/>
      <c r="L53" s="868"/>
      <c r="M53" s="868"/>
      <c r="N53" s="868"/>
      <c r="O53" s="868"/>
      <c r="P53" s="868"/>
      <c r="Q53" s="868"/>
      <c r="R53" s="868"/>
      <c r="S53" s="868"/>
      <c r="T53" s="883" t="s">
        <v>592</v>
      </c>
      <c r="U53" s="882">
        <v>17.016084205549994</v>
      </c>
      <c r="V53" s="882">
        <v>16.14346450270127</v>
      </c>
      <c r="W53" s="882">
        <v>14.398225097003836</v>
      </c>
      <c r="X53" s="882">
        <v>11.780365988457685</v>
      </c>
      <c r="Y53" s="881">
        <v>11.780365988457685</v>
      </c>
      <c r="Z53" s="880"/>
      <c r="AA53" s="880"/>
      <c r="AB53" s="868"/>
    </row>
    <row r="54" spans="1:28" ht="15" thickBot="1">
      <c r="A54" s="868"/>
      <c r="B54" s="897"/>
      <c r="C54" s="897"/>
      <c r="D54" s="897"/>
      <c r="E54" s="897"/>
      <c r="F54" s="897"/>
      <c r="G54" s="897"/>
      <c r="H54" s="903"/>
      <c r="I54" s="897"/>
      <c r="J54" s="868"/>
      <c r="K54" s="868"/>
      <c r="L54" s="868"/>
      <c r="M54" s="868"/>
      <c r="N54" s="868"/>
      <c r="O54" s="868"/>
      <c r="P54" s="868"/>
      <c r="Q54" s="868"/>
      <c r="R54" s="868"/>
      <c r="S54" s="868"/>
      <c r="T54" s="880"/>
      <c r="U54" s="880"/>
      <c r="V54" s="880"/>
      <c r="W54" s="880"/>
      <c r="X54" s="880"/>
      <c r="Y54" s="880"/>
      <c r="Z54" s="880"/>
      <c r="AA54" s="880"/>
      <c r="AB54" s="868"/>
    </row>
    <row r="55" spans="1:28" ht="14.25">
      <c r="A55" s="868"/>
      <c r="B55" s="903" t="s">
        <v>675</v>
      </c>
      <c r="C55" s="903"/>
      <c r="D55" s="903"/>
      <c r="E55" s="903"/>
      <c r="F55" s="903"/>
      <c r="G55" s="903"/>
      <c r="H55" s="903"/>
      <c r="I55" s="897"/>
      <c r="J55" s="868"/>
      <c r="K55" s="868"/>
      <c r="L55" s="868"/>
      <c r="M55" s="868"/>
      <c r="N55" s="868"/>
      <c r="O55" s="868"/>
      <c r="P55" s="868"/>
      <c r="Q55" s="868"/>
      <c r="R55" s="868"/>
      <c r="S55" s="868"/>
      <c r="T55" s="890" t="s">
        <v>596</v>
      </c>
      <c r="U55" s="888"/>
      <c r="V55" s="888"/>
      <c r="W55" s="889">
        <v>0.022</v>
      </c>
      <c r="X55" s="888"/>
      <c r="Y55" s="887"/>
      <c r="Z55" s="880"/>
      <c r="AA55" s="880"/>
      <c r="AB55" s="868"/>
    </row>
    <row r="56" spans="1:28" ht="14.25">
      <c r="A56" s="868"/>
      <c r="B56" s="903" t="s">
        <v>674</v>
      </c>
      <c r="C56" s="903"/>
      <c r="D56" s="903"/>
      <c r="E56" s="903"/>
      <c r="F56" s="903"/>
      <c r="G56" s="903"/>
      <c r="H56" s="897"/>
      <c r="I56" s="897"/>
      <c r="J56" s="868"/>
      <c r="K56" s="868"/>
      <c r="L56" s="868"/>
      <c r="M56" s="868"/>
      <c r="N56" s="868"/>
      <c r="O56" s="868"/>
      <c r="P56" s="868"/>
      <c r="Q56" s="868"/>
      <c r="R56" s="868"/>
      <c r="S56" s="868"/>
      <c r="T56" s="898" t="s">
        <v>673</v>
      </c>
      <c r="U56" s="885">
        <v>16.641730353027892</v>
      </c>
      <c r="V56" s="885">
        <v>15.788308283641843</v>
      </c>
      <c r="W56" s="885">
        <v>14.081464144869752</v>
      </c>
      <c r="X56" s="885">
        <v>11.521197936711616</v>
      </c>
      <c r="Y56" s="884">
        <v>11.521197936711616</v>
      </c>
      <c r="Z56" s="880"/>
      <c r="AA56" s="880"/>
      <c r="AB56" s="868"/>
    </row>
    <row r="57" spans="1:28" ht="15" thickBot="1">
      <c r="A57" s="868"/>
      <c r="B57" s="903" t="s">
        <v>672</v>
      </c>
      <c r="C57" s="903"/>
      <c r="D57" s="903"/>
      <c r="E57" s="903"/>
      <c r="F57" s="903"/>
      <c r="G57" s="903"/>
      <c r="H57" s="897"/>
      <c r="I57" s="897"/>
      <c r="J57" s="868"/>
      <c r="K57" s="868"/>
      <c r="L57" s="868"/>
      <c r="M57" s="868"/>
      <c r="N57" s="868"/>
      <c r="O57" s="868"/>
      <c r="P57" s="868"/>
      <c r="Q57" s="868"/>
      <c r="R57" s="868"/>
      <c r="S57" s="868"/>
      <c r="T57" s="883" t="s">
        <v>592</v>
      </c>
      <c r="U57" s="882">
        <v>16.641730353027892</v>
      </c>
      <c r="V57" s="882">
        <v>15.788308283641843</v>
      </c>
      <c r="W57" s="882">
        <v>14.081464144869752</v>
      </c>
      <c r="X57" s="882">
        <v>11.521197936711616</v>
      </c>
      <c r="Y57" s="881">
        <v>11.521197936711616</v>
      </c>
      <c r="Z57" s="880"/>
      <c r="AA57" s="880"/>
      <c r="AB57" s="868"/>
    </row>
    <row r="58" spans="1:28" ht="14.25">
      <c r="A58" s="868"/>
      <c r="B58" s="903"/>
      <c r="C58" s="903"/>
      <c r="D58" s="903"/>
      <c r="E58" s="903"/>
      <c r="F58" s="903"/>
      <c r="G58" s="903"/>
      <c r="H58" s="897"/>
      <c r="I58" s="897"/>
      <c r="J58" s="868"/>
      <c r="K58" s="868"/>
      <c r="L58" s="868"/>
      <c r="M58" s="868"/>
      <c r="N58" s="868"/>
      <c r="O58" s="868"/>
      <c r="P58" s="868"/>
      <c r="Q58" s="868"/>
      <c r="R58" s="868"/>
      <c r="S58" s="868"/>
      <c r="T58" s="890" t="s">
        <v>596</v>
      </c>
      <c r="U58" s="888"/>
      <c r="V58" s="888"/>
      <c r="W58" s="889">
        <v>0.022</v>
      </c>
      <c r="X58" s="888"/>
      <c r="Y58" s="887"/>
      <c r="Z58" s="880"/>
      <c r="AA58" s="880"/>
      <c r="AB58" s="868"/>
    </row>
    <row r="59" spans="1:28" ht="14.25">
      <c r="A59" s="868"/>
      <c r="B59" s="903"/>
      <c r="C59" s="903"/>
      <c r="D59" s="903"/>
      <c r="E59" s="903"/>
      <c r="F59" s="903"/>
      <c r="G59" s="903"/>
      <c r="H59" s="897"/>
      <c r="I59" s="897"/>
      <c r="J59" s="868"/>
      <c r="K59" s="868"/>
      <c r="L59" s="868"/>
      <c r="M59" s="868"/>
      <c r="N59" s="868"/>
      <c r="O59" s="868"/>
      <c r="P59" s="868"/>
      <c r="Q59" s="868"/>
      <c r="R59" s="868"/>
      <c r="S59" s="868"/>
      <c r="T59" s="898" t="s">
        <v>671</v>
      </c>
      <c r="U59" s="885">
        <v>16.27561228526128</v>
      </c>
      <c r="V59" s="885">
        <v>15.440965501401722</v>
      </c>
      <c r="W59" s="885">
        <v>13.771671933682617</v>
      </c>
      <c r="X59" s="885">
        <v>11.26773158210396</v>
      </c>
      <c r="Y59" s="884">
        <v>11.26773158210396</v>
      </c>
      <c r="Z59" s="880"/>
      <c r="AA59" s="880"/>
      <c r="AB59" s="868"/>
    </row>
    <row r="60" spans="1:28" ht="13.5" customHeight="1" thickBot="1">
      <c r="A60" s="868"/>
      <c r="B60" s="897"/>
      <c r="C60" s="897"/>
      <c r="D60" s="897"/>
      <c r="E60" s="897"/>
      <c r="F60" s="897"/>
      <c r="G60" s="897"/>
      <c r="H60" s="897"/>
      <c r="I60" s="897"/>
      <c r="J60" s="868"/>
      <c r="K60" s="868"/>
      <c r="L60" s="868"/>
      <c r="M60" s="868"/>
      <c r="N60" s="868"/>
      <c r="O60" s="868"/>
      <c r="P60" s="868"/>
      <c r="Q60" s="868"/>
      <c r="R60" s="868"/>
      <c r="S60" s="868"/>
      <c r="T60" s="883" t="s">
        <v>592</v>
      </c>
      <c r="U60" s="882">
        <v>16.27561228526128</v>
      </c>
      <c r="V60" s="882">
        <v>15.440965501401722</v>
      </c>
      <c r="W60" s="882">
        <v>13.771671933682617</v>
      </c>
      <c r="X60" s="882">
        <v>11.26773158210396</v>
      </c>
      <c r="Y60" s="881">
        <v>11.26773158210396</v>
      </c>
      <c r="Z60" s="880"/>
      <c r="AA60" s="880"/>
      <c r="AB60" s="868"/>
    </row>
    <row r="61" spans="1:28" ht="13.5" customHeight="1">
      <c r="A61" s="868"/>
      <c r="B61" s="902" t="s">
        <v>670</v>
      </c>
      <c r="C61" s="897"/>
      <c r="D61" s="897"/>
      <c r="E61" s="897"/>
      <c r="F61" s="897"/>
      <c r="G61" s="897"/>
      <c r="H61" s="897"/>
      <c r="I61" s="897"/>
      <c r="J61" s="868"/>
      <c r="K61" s="868"/>
      <c r="L61" s="868"/>
      <c r="M61" s="868"/>
      <c r="N61" s="868"/>
      <c r="O61" s="868"/>
      <c r="P61" s="868"/>
      <c r="Q61" s="868"/>
      <c r="R61" s="868"/>
      <c r="S61" s="868"/>
      <c r="T61" s="890" t="s">
        <v>596</v>
      </c>
      <c r="U61" s="888"/>
      <c r="V61" s="888"/>
      <c r="W61" s="889">
        <v>0.022</v>
      </c>
      <c r="X61" s="888"/>
      <c r="Y61" s="887"/>
      <c r="Z61" s="880"/>
      <c r="AA61" s="880"/>
      <c r="AB61" s="868"/>
    </row>
    <row r="62" spans="1:28" ht="13.5" customHeight="1">
      <c r="A62" s="868"/>
      <c r="B62" s="897" t="s">
        <v>669</v>
      </c>
      <c r="C62" s="897"/>
      <c r="D62" s="897"/>
      <c r="E62" s="897"/>
      <c r="F62" s="897"/>
      <c r="G62" s="897"/>
      <c r="H62" s="897"/>
      <c r="I62" s="897"/>
      <c r="J62" s="868"/>
      <c r="K62" s="868"/>
      <c r="L62" s="868"/>
      <c r="M62" s="868"/>
      <c r="N62" s="868"/>
      <c r="O62" s="868"/>
      <c r="P62" s="868"/>
      <c r="Q62" s="868"/>
      <c r="R62" s="868"/>
      <c r="S62" s="868"/>
      <c r="T62" s="898" t="s">
        <v>668</v>
      </c>
      <c r="U62" s="885">
        <v>15.91754881498553</v>
      </c>
      <c r="V62" s="885">
        <v>15.101264260370884</v>
      </c>
      <c r="W62" s="885">
        <v>13.468695151141599</v>
      </c>
      <c r="X62" s="885">
        <v>11.019841487297672</v>
      </c>
      <c r="Y62" s="884">
        <v>11.019841487297672</v>
      </c>
      <c r="Z62" s="880"/>
      <c r="AA62" s="880"/>
      <c r="AB62" s="868"/>
    </row>
    <row r="63" spans="1:28" ht="13.5" customHeight="1" thickBot="1">
      <c r="A63" s="868"/>
      <c r="B63" s="897" t="s">
        <v>667</v>
      </c>
      <c r="C63" s="897"/>
      <c r="D63" s="897"/>
      <c r="E63" s="897"/>
      <c r="F63" s="897"/>
      <c r="G63" s="897"/>
      <c r="H63" s="897"/>
      <c r="I63" s="897"/>
      <c r="J63" s="868"/>
      <c r="K63" s="868"/>
      <c r="L63" s="868"/>
      <c r="M63" s="868"/>
      <c r="N63" s="868"/>
      <c r="O63" s="868"/>
      <c r="P63" s="868"/>
      <c r="Q63" s="868"/>
      <c r="R63" s="868"/>
      <c r="S63" s="868"/>
      <c r="T63" s="883" t="s">
        <v>592</v>
      </c>
      <c r="U63" s="882">
        <v>15.91754881498553</v>
      </c>
      <c r="V63" s="882">
        <v>15.101264260370884</v>
      </c>
      <c r="W63" s="882">
        <v>13.468695151141599</v>
      </c>
      <c r="X63" s="882">
        <v>11.019841487297672</v>
      </c>
      <c r="Y63" s="881">
        <v>11.019841487297672</v>
      </c>
      <c r="Z63" s="880"/>
      <c r="AA63" s="880"/>
      <c r="AB63" s="868"/>
    </row>
    <row r="64" spans="1:28" ht="13.5" customHeight="1" thickBot="1">
      <c r="A64" s="868"/>
      <c r="B64" s="897" t="s">
        <v>666</v>
      </c>
      <c r="C64" s="897"/>
      <c r="D64" s="897"/>
      <c r="E64" s="897"/>
      <c r="F64" s="897"/>
      <c r="G64" s="897"/>
      <c r="H64" s="897"/>
      <c r="I64" s="897"/>
      <c r="J64" s="868"/>
      <c r="K64" s="868"/>
      <c r="L64" s="868"/>
      <c r="M64" s="868"/>
      <c r="N64" s="868"/>
      <c r="O64" s="868"/>
      <c r="P64" s="868"/>
      <c r="Q64" s="868"/>
      <c r="R64" s="868"/>
      <c r="S64" s="868"/>
      <c r="T64" s="880"/>
      <c r="U64" s="880"/>
      <c r="V64" s="880"/>
      <c r="W64" s="880"/>
      <c r="X64" s="880"/>
      <c r="Y64" s="880"/>
      <c r="Z64" s="880"/>
      <c r="AA64" s="880"/>
      <c r="AB64" s="868"/>
    </row>
    <row r="65" spans="1:28" ht="13.5" customHeight="1">
      <c r="A65" s="868"/>
      <c r="B65" s="897" t="s">
        <v>665</v>
      </c>
      <c r="C65" s="897"/>
      <c r="D65" s="897"/>
      <c r="E65" s="897"/>
      <c r="F65" s="897"/>
      <c r="G65" s="897"/>
      <c r="H65" s="897"/>
      <c r="I65" s="897"/>
      <c r="J65" s="868"/>
      <c r="K65" s="868"/>
      <c r="L65" s="868"/>
      <c r="M65" s="868"/>
      <c r="N65" s="868"/>
      <c r="O65" s="868"/>
      <c r="P65" s="868"/>
      <c r="Q65" s="868"/>
      <c r="R65" s="868"/>
      <c r="S65" s="868"/>
      <c r="T65" s="890" t="s">
        <v>596</v>
      </c>
      <c r="U65" s="888"/>
      <c r="V65" s="888"/>
      <c r="W65" s="889">
        <v>0.018</v>
      </c>
      <c r="X65" s="888"/>
      <c r="Y65" s="887"/>
      <c r="Z65" s="880"/>
      <c r="AA65" s="880"/>
      <c r="AB65" s="868"/>
    </row>
    <row r="66" spans="1:28" ht="13.5" customHeight="1">
      <c r="A66" s="868"/>
      <c r="B66" s="897" t="s">
        <v>664</v>
      </c>
      <c r="C66" s="897"/>
      <c r="D66" s="897"/>
      <c r="E66" s="897"/>
      <c r="F66" s="897"/>
      <c r="G66" s="897"/>
      <c r="H66" s="897"/>
      <c r="I66" s="897"/>
      <c r="J66" s="868"/>
      <c r="K66" s="868"/>
      <c r="L66" s="868"/>
      <c r="M66" s="868"/>
      <c r="N66" s="868"/>
      <c r="O66" s="868"/>
      <c r="P66" s="868"/>
      <c r="Q66" s="868"/>
      <c r="R66" s="868"/>
      <c r="S66" s="868"/>
      <c r="T66" s="898" t="s">
        <v>663</v>
      </c>
      <c r="U66" s="885">
        <v>15.63103293631579</v>
      </c>
      <c r="V66" s="885">
        <v>14.829441503684208</v>
      </c>
      <c r="W66" s="885">
        <v>13.22625863842105</v>
      </c>
      <c r="X66" s="885">
        <v>10.821484340526315</v>
      </c>
      <c r="Y66" s="884">
        <v>10.821484340526315</v>
      </c>
      <c r="Z66" s="880"/>
      <c r="AA66" s="880"/>
      <c r="AB66" s="868"/>
    </row>
    <row r="67" spans="1:28" ht="13.5" customHeight="1" thickBot="1">
      <c r="A67" s="868"/>
      <c r="B67" s="897"/>
      <c r="C67" s="897"/>
      <c r="D67" s="897"/>
      <c r="E67" s="897"/>
      <c r="F67" s="897"/>
      <c r="G67" s="897"/>
      <c r="H67" s="897"/>
      <c r="I67" s="897"/>
      <c r="J67" s="868"/>
      <c r="K67" s="868"/>
      <c r="L67" s="868"/>
      <c r="M67" s="868"/>
      <c r="N67" s="868"/>
      <c r="O67" s="868"/>
      <c r="P67" s="868"/>
      <c r="Q67" s="868"/>
      <c r="R67" s="868"/>
      <c r="S67" s="868"/>
      <c r="T67" s="883" t="s">
        <v>592</v>
      </c>
      <c r="U67" s="882">
        <v>15.63103293631579</v>
      </c>
      <c r="V67" s="882">
        <v>14.829441503684208</v>
      </c>
      <c r="W67" s="882">
        <v>13.22625863842105</v>
      </c>
      <c r="X67" s="882">
        <v>10.821484340526315</v>
      </c>
      <c r="Y67" s="881">
        <v>10.821484340526315</v>
      </c>
      <c r="Z67" s="880"/>
      <c r="AA67" s="880"/>
      <c r="AB67" s="868"/>
    </row>
    <row r="68" spans="1:28" ht="13.5" customHeight="1">
      <c r="A68" s="868"/>
      <c r="B68" s="897" t="s">
        <v>587</v>
      </c>
      <c r="C68" s="897"/>
      <c r="D68" s="897" t="s">
        <v>586</v>
      </c>
      <c r="E68" s="897"/>
      <c r="F68" s="897"/>
      <c r="G68" s="897"/>
      <c r="H68" s="897"/>
      <c r="I68" s="897"/>
      <c r="J68" s="868"/>
      <c r="K68" s="868"/>
      <c r="L68" s="868"/>
      <c r="M68" s="868"/>
      <c r="N68" s="868"/>
      <c r="O68" s="868"/>
      <c r="P68" s="868"/>
      <c r="Q68" s="868"/>
      <c r="R68" s="868"/>
      <c r="S68" s="868"/>
      <c r="T68" s="890" t="s">
        <v>596</v>
      </c>
      <c r="U68" s="888"/>
      <c r="V68" s="888"/>
      <c r="W68" s="889">
        <v>0.018</v>
      </c>
      <c r="X68" s="888"/>
      <c r="Y68" s="887"/>
      <c r="Z68" s="880"/>
      <c r="AA68" s="880"/>
      <c r="AB68" s="868"/>
    </row>
    <row r="69" spans="1:28" ht="13.5" customHeight="1">
      <c r="A69" s="868"/>
      <c r="B69" s="897" t="s">
        <v>585</v>
      </c>
      <c r="C69" s="897"/>
      <c r="D69" s="897" t="s">
        <v>584</v>
      </c>
      <c r="E69" s="897"/>
      <c r="F69" s="897"/>
      <c r="G69" s="897"/>
      <c r="H69" s="897"/>
      <c r="I69" s="897"/>
      <c r="J69" s="868"/>
      <c r="K69" s="868"/>
      <c r="L69" s="868"/>
      <c r="M69" s="868"/>
      <c r="N69" s="868"/>
      <c r="O69" s="868"/>
      <c r="P69" s="868"/>
      <c r="Q69" s="868"/>
      <c r="R69" s="868"/>
      <c r="S69" s="868"/>
      <c r="T69" s="898" t="s">
        <v>662</v>
      </c>
      <c r="U69" s="885">
        <v>15.349674343462105</v>
      </c>
      <c r="V69" s="885">
        <v>14.562511556617892</v>
      </c>
      <c r="W69" s="885">
        <v>12.98818598292947</v>
      </c>
      <c r="X69" s="885">
        <v>10.62669762239684</v>
      </c>
      <c r="Y69" s="884">
        <v>10.62669762239684</v>
      </c>
      <c r="Z69" s="880"/>
      <c r="AA69" s="880"/>
      <c r="AB69" s="868"/>
    </row>
    <row r="70" spans="1:28" ht="13.5" customHeight="1" thickBot="1">
      <c r="A70" s="868"/>
      <c r="B70" s="897" t="s">
        <v>583</v>
      </c>
      <c r="C70" s="897"/>
      <c r="D70" s="897" t="s">
        <v>582</v>
      </c>
      <c r="E70" s="897"/>
      <c r="F70" s="897"/>
      <c r="G70" s="897"/>
      <c r="H70" s="897"/>
      <c r="I70" s="897"/>
      <c r="J70" s="868"/>
      <c r="K70" s="868"/>
      <c r="L70" s="868"/>
      <c r="M70" s="868"/>
      <c r="N70" s="868"/>
      <c r="O70" s="868"/>
      <c r="P70" s="868"/>
      <c r="Q70" s="868"/>
      <c r="R70" s="868"/>
      <c r="S70" s="868"/>
      <c r="T70" s="883" t="s">
        <v>592</v>
      </c>
      <c r="U70" s="882">
        <v>15.349674343462105</v>
      </c>
      <c r="V70" s="882">
        <v>14.562511556617892</v>
      </c>
      <c r="W70" s="882">
        <v>12.98818598292947</v>
      </c>
      <c r="X70" s="882">
        <v>10.62669762239684</v>
      </c>
      <c r="Y70" s="881">
        <v>10.62669762239684</v>
      </c>
      <c r="Z70" s="880"/>
      <c r="AA70" s="880"/>
      <c r="AB70" s="868"/>
    </row>
    <row r="71" spans="1:28" ht="13.5" customHeight="1">
      <c r="A71" s="868"/>
      <c r="B71" s="897" t="s">
        <v>581</v>
      </c>
      <c r="C71" s="897"/>
      <c r="D71" s="897" t="s">
        <v>580</v>
      </c>
      <c r="E71" s="897"/>
      <c r="F71" s="897"/>
      <c r="G71" s="897"/>
      <c r="H71" s="897"/>
      <c r="I71" s="897"/>
      <c r="J71" s="868"/>
      <c r="K71" s="868"/>
      <c r="L71" s="868"/>
      <c r="M71" s="868"/>
      <c r="N71" s="868"/>
      <c r="O71" s="868"/>
      <c r="P71" s="868"/>
      <c r="Q71" s="868"/>
      <c r="R71" s="868"/>
      <c r="S71" s="868"/>
      <c r="T71" s="890" t="s">
        <v>596</v>
      </c>
      <c r="U71" s="888"/>
      <c r="V71" s="888"/>
      <c r="W71" s="889">
        <v>0.018</v>
      </c>
      <c r="X71" s="888"/>
      <c r="Y71" s="887"/>
      <c r="Z71" s="880"/>
      <c r="AA71" s="880"/>
      <c r="AB71" s="868"/>
    </row>
    <row r="72" spans="1:28" ht="13.5" customHeight="1">
      <c r="A72" s="868"/>
      <c r="B72" s="897" t="s">
        <v>579</v>
      </c>
      <c r="C72" s="897"/>
      <c r="D72" s="897" t="s">
        <v>661</v>
      </c>
      <c r="E72" s="897"/>
      <c r="F72" s="897"/>
      <c r="G72" s="897"/>
      <c r="H72" s="897"/>
      <c r="I72" s="897"/>
      <c r="J72" s="868"/>
      <c r="K72" s="868"/>
      <c r="L72" s="868"/>
      <c r="M72" s="868"/>
      <c r="N72" s="868"/>
      <c r="O72" s="868"/>
      <c r="P72" s="868"/>
      <c r="Q72" s="868"/>
      <c r="R72" s="868"/>
      <c r="S72" s="868"/>
      <c r="T72" s="898"/>
      <c r="U72" s="900"/>
      <c r="V72" s="900"/>
      <c r="W72" s="901"/>
      <c r="X72" s="900"/>
      <c r="Y72" s="899"/>
      <c r="Z72" s="880"/>
      <c r="AA72" s="880"/>
      <c r="AB72" s="868"/>
    </row>
    <row r="73" spans="1:28" ht="13.5" customHeight="1">
      <c r="A73" s="868"/>
      <c r="B73" s="897"/>
      <c r="C73" s="897"/>
      <c r="D73" s="897" t="s">
        <v>660</v>
      </c>
      <c r="E73" s="897"/>
      <c r="F73" s="897"/>
      <c r="G73" s="897"/>
      <c r="H73" s="897"/>
      <c r="I73" s="897"/>
      <c r="J73" s="868"/>
      <c r="K73" s="868"/>
      <c r="L73" s="868"/>
      <c r="M73" s="868"/>
      <c r="N73" s="868"/>
      <c r="O73" s="868"/>
      <c r="P73" s="868"/>
      <c r="Q73" s="868"/>
      <c r="R73" s="868"/>
      <c r="S73" s="868"/>
      <c r="T73" s="898" t="s">
        <v>659</v>
      </c>
      <c r="U73" s="885">
        <v>15.073380205279786</v>
      </c>
      <c r="V73" s="885">
        <v>14.300386348598769</v>
      </c>
      <c r="W73" s="885">
        <v>12.75439863523674</v>
      </c>
      <c r="X73" s="885">
        <v>10.435417065193697</v>
      </c>
      <c r="Y73" s="884">
        <v>10.435417065193697</v>
      </c>
      <c r="Z73" s="880"/>
      <c r="AA73" s="880"/>
      <c r="AB73" s="868"/>
    </row>
    <row r="74" spans="1:28" ht="13.5" customHeight="1" thickBot="1">
      <c r="A74" s="868"/>
      <c r="B74" s="897" t="s">
        <v>577</v>
      </c>
      <c r="C74" s="897"/>
      <c r="D74" s="897" t="s">
        <v>658</v>
      </c>
      <c r="E74" s="897"/>
      <c r="F74" s="897"/>
      <c r="G74" s="897"/>
      <c r="H74" s="897"/>
      <c r="I74" s="897"/>
      <c r="J74" s="868"/>
      <c r="K74" s="868"/>
      <c r="L74" s="868"/>
      <c r="M74" s="868"/>
      <c r="N74" s="868"/>
      <c r="O74" s="868"/>
      <c r="P74" s="868"/>
      <c r="Q74" s="868"/>
      <c r="R74" s="868"/>
      <c r="S74" s="868"/>
      <c r="T74" s="883" t="s">
        <v>592</v>
      </c>
      <c r="U74" s="882">
        <v>15.073380205279786</v>
      </c>
      <c r="V74" s="882">
        <v>14.300386348598769</v>
      </c>
      <c r="W74" s="882">
        <v>12.75439863523674</v>
      </c>
      <c r="X74" s="882">
        <v>10.435417065193697</v>
      </c>
      <c r="Y74" s="881">
        <v>10.435417065193697</v>
      </c>
      <c r="Z74" s="880"/>
      <c r="AA74" s="880"/>
      <c r="AB74" s="868"/>
    </row>
    <row r="75" spans="1:28" ht="13.5" customHeight="1" thickBot="1">
      <c r="A75" s="868"/>
      <c r="B75" s="897"/>
      <c r="C75" s="897"/>
      <c r="D75" s="897" t="s">
        <v>657</v>
      </c>
      <c r="E75" s="897"/>
      <c r="F75" s="897"/>
      <c r="G75" s="897"/>
      <c r="H75" s="897"/>
      <c r="I75" s="897"/>
      <c r="J75" s="868"/>
      <c r="K75" s="868"/>
      <c r="L75" s="868"/>
      <c r="M75" s="868"/>
      <c r="N75" s="868"/>
      <c r="O75" s="868"/>
      <c r="P75" s="868"/>
      <c r="Q75" s="868"/>
      <c r="R75" s="868"/>
      <c r="S75" s="868"/>
      <c r="T75" s="880"/>
      <c r="U75" s="880"/>
      <c r="V75" s="880"/>
      <c r="W75" s="880"/>
      <c r="X75" s="880"/>
      <c r="Y75" s="880"/>
      <c r="Z75" s="880"/>
      <c r="AA75" s="880"/>
      <c r="AB75" s="868"/>
    </row>
    <row r="76" spans="1:28" ht="13.5" customHeight="1" thickBot="1">
      <c r="A76" s="868"/>
      <c r="B76" s="897"/>
      <c r="C76" s="897"/>
      <c r="D76" s="897"/>
      <c r="E76" s="897"/>
      <c r="F76" s="897"/>
      <c r="G76" s="897"/>
      <c r="H76" s="897"/>
      <c r="I76" s="897"/>
      <c r="J76" s="868"/>
      <c r="K76" s="868"/>
      <c r="L76" s="868"/>
      <c r="M76" s="868"/>
      <c r="N76" s="868"/>
      <c r="O76" s="868"/>
      <c r="P76" s="868"/>
      <c r="Q76" s="868"/>
      <c r="R76" s="868"/>
      <c r="S76" s="868"/>
      <c r="T76" s="890" t="s">
        <v>596</v>
      </c>
      <c r="U76" s="888"/>
      <c r="V76" s="888"/>
      <c r="W76" s="889">
        <v>0.018</v>
      </c>
      <c r="X76" s="888"/>
      <c r="Y76" s="887"/>
      <c r="Z76" s="880"/>
      <c r="AA76" s="880"/>
      <c r="AB76" s="868"/>
    </row>
    <row r="77" spans="1:28" ht="13.5" customHeight="1" thickTop="1">
      <c r="A77" s="868"/>
      <c r="B77" s="896" t="s">
        <v>656</v>
      </c>
      <c r="C77" s="895"/>
      <c r="D77" s="895"/>
      <c r="E77" s="895"/>
      <c r="F77" s="895"/>
      <c r="G77" s="895"/>
      <c r="H77" s="895"/>
      <c r="I77" s="894"/>
      <c r="J77" s="868"/>
      <c r="K77" s="868"/>
      <c r="L77" s="868"/>
      <c r="M77" s="868"/>
      <c r="N77" s="868"/>
      <c r="O77" s="868"/>
      <c r="P77" s="868"/>
      <c r="Q77" s="868"/>
      <c r="R77" s="868"/>
      <c r="S77" s="868"/>
      <c r="T77" s="886" t="s">
        <v>655</v>
      </c>
      <c r="U77" s="885">
        <v>14.80205936158475</v>
      </c>
      <c r="V77" s="885">
        <v>14.042979394323991</v>
      </c>
      <c r="W77" s="885">
        <v>12.524819459802478</v>
      </c>
      <c r="X77" s="885">
        <v>10.24757955802021</v>
      </c>
      <c r="Y77" s="884">
        <v>10.24757955802021</v>
      </c>
      <c r="Z77" s="880"/>
      <c r="AA77" s="880"/>
      <c r="AB77" s="868"/>
    </row>
    <row r="78" spans="1:28" ht="13.5" customHeight="1" thickBot="1">
      <c r="A78" s="868"/>
      <c r="B78" s="893" t="s">
        <v>654</v>
      </c>
      <c r="C78" s="874"/>
      <c r="D78" s="874"/>
      <c r="E78" s="874"/>
      <c r="F78" s="874"/>
      <c r="G78" s="874"/>
      <c r="H78" s="874"/>
      <c r="I78" s="873"/>
      <c r="J78" s="868"/>
      <c r="K78" s="868"/>
      <c r="L78" s="868"/>
      <c r="M78" s="868"/>
      <c r="N78" s="868"/>
      <c r="O78" s="868"/>
      <c r="P78" s="868"/>
      <c r="Q78" s="868"/>
      <c r="R78" s="868"/>
      <c r="S78" s="868"/>
      <c r="T78" s="883" t="s">
        <v>592</v>
      </c>
      <c r="U78" s="882">
        <v>14.80205936158475</v>
      </c>
      <c r="V78" s="882">
        <v>14.042979394323991</v>
      </c>
      <c r="W78" s="882">
        <v>12.524819459802478</v>
      </c>
      <c r="X78" s="882">
        <v>10.24757955802021</v>
      </c>
      <c r="Y78" s="881">
        <v>10.24757955802021</v>
      </c>
      <c r="Z78" s="880"/>
      <c r="AA78" s="880"/>
      <c r="AB78" s="868"/>
    </row>
    <row r="79" spans="1:28" ht="13.5" customHeight="1">
      <c r="A79" s="868"/>
      <c r="B79" s="875"/>
      <c r="C79" s="874"/>
      <c r="D79" s="874"/>
      <c r="E79" s="874"/>
      <c r="F79" s="874"/>
      <c r="G79" s="874"/>
      <c r="H79" s="874"/>
      <c r="I79" s="873"/>
      <c r="J79" s="868"/>
      <c r="K79" s="868"/>
      <c r="L79" s="868"/>
      <c r="M79" s="868"/>
      <c r="N79" s="868"/>
      <c r="O79" s="868"/>
      <c r="P79" s="868"/>
      <c r="Q79" s="868"/>
      <c r="R79" s="868"/>
      <c r="S79" s="868"/>
      <c r="T79" s="890" t="s">
        <v>596</v>
      </c>
      <c r="U79" s="888"/>
      <c r="V79" s="888"/>
      <c r="W79" s="889">
        <v>0.018</v>
      </c>
      <c r="X79" s="888"/>
      <c r="Y79" s="887"/>
      <c r="Z79" s="880"/>
      <c r="AA79" s="880"/>
      <c r="AB79" s="868"/>
    </row>
    <row r="80" spans="1:28" ht="13.5" customHeight="1">
      <c r="A80" s="868"/>
      <c r="B80" s="875" t="s">
        <v>653</v>
      </c>
      <c r="C80" s="874" t="s">
        <v>652</v>
      </c>
      <c r="D80" s="874"/>
      <c r="E80" s="874"/>
      <c r="F80" s="874"/>
      <c r="G80" s="874"/>
      <c r="H80" s="874"/>
      <c r="I80" s="873"/>
      <c r="J80" s="868"/>
      <c r="K80" s="868"/>
      <c r="L80" s="868"/>
      <c r="M80" s="868"/>
      <c r="N80" s="868"/>
      <c r="O80" s="868"/>
      <c r="P80" s="868"/>
      <c r="Q80" s="868"/>
      <c r="R80" s="868"/>
      <c r="S80" s="868"/>
      <c r="T80" s="886" t="s">
        <v>651</v>
      </c>
      <c r="U80" s="885">
        <v>14.535622293076225</v>
      </c>
      <c r="V80" s="885">
        <v>13.790205765226158</v>
      </c>
      <c r="W80" s="885">
        <v>12.299372709526033</v>
      </c>
      <c r="X80" s="885">
        <v>10.063123125975846</v>
      </c>
      <c r="Y80" s="884">
        <v>10.063123125975846</v>
      </c>
      <c r="Z80" s="880"/>
      <c r="AA80" s="880"/>
      <c r="AB80" s="868"/>
    </row>
    <row r="81" spans="1:28" ht="13.5" customHeight="1" thickBot="1">
      <c r="A81" s="868"/>
      <c r="B81" s="875"/>
      <c r="C81" s="874"/>
      <c r="D81" s="874"/>
      <c r="E81" s="874"/>
      <c r="F81" s="874"/>
      <c r="G81" s="874"/>
      <c r="H81" s="874"/>
      <c r="I81" s="873"/>
      <c r="J81" s="868"/>
      <c r="K81" s="868"/>
      <c r="L81" s="868"/>
      <c r="M81" s="868"/>
      <c r="N81" s="868"/>
      <c r="O81" s="868"/>
      <c r="P81" s="868"/>
      <c r="Q81" s="868"/>
      <c r="R81" s="868"/>
      <c r="S81" s="868"/>
      <c r="T81" s="883" t="s">
        <v>592</v>
      </c>
      <c r="U81" s="882">
        <v>14.535622293076225</v>
      </c>
      <c r="V81" s="882">
        <v>13.790205765226158</v>
      </c>
      <c r="W81" s="882">
        <v>12.299372709526033</v>
      </c>
      <c r="X81" s="882">
        <v>10.063123125975846</v>
      </c>
      <c r="Y81" s="881">
        <v>10.063123125975846</v>
      </c>
      <c r="Z81" s="880"/>
      <c r="AA81" s="880"/>
      <c r="AB81" s="868"/>
    </row>
    <row r="82" spans="1:28" ht="13.5" customHeight="1">
      <c r="A82" s="868"/>
      <c r="B82" s="875" t="s">
        <v>650</v>
      </c>
      <c r="C82" s="874" t="s">
        <v>649</v>
      </c>
      <c r="D82" s="874"/>
      <c r="E82" s="874"/>
      <c r="F82" s="874"/>
      <c r="G82" s="874"/>
      <c r="H82" s="874"/>
      <c r="I82" s="873"/>
      <c r="J82" s="868"/>
      <c r="K82" s="868"/>
      <c r="L82" s="868"/>
      <c r="M82" s="868"/>
      <c r="N82" s="868"/>
      <c r="O82" s="868"/>
      <c r="P82" s="868"/>
      <c r="Q82" s="868"/>
      <c r="R82" s="868"/>
      <c r="S82" s="868"/>
      <c r="T82" s="890" t="s">
        <v>596</v>
      </c>
      <c r="U82" s="888"/>
      <c r="V82" s="888"/>
      <c r="W82" s="889">
        <v>0.018</v>
      </c>
      <c r="X82" s="888"/>
      <c r="Y82" s="887"/>
      <c r="Z82" s="880"/>
      <c r="AA82" s="880"/>
      <c r="AB82" s="868"/>
    </row>
    <row r="83" spans="1:28" ht="13.5" customHeight="1">
      <c r="A83" s="868"/>
      <c r="B83" s="875"/>
      <c r="C83" s="874"/>
      <c r="D83" s="874"/>
      <c r="E83" s="874"/>
      <c r="F83" s="874"/>
      <c r="G83" s="874"/>
      <c r="H83" s="874"/>
      <c r="I83" s="873"/>
      <c r="J83" s="868"/>
      <c r="K83" s="868"/>
      <c r="L83" s="868"/>
      <c r="M83" s="868"/>
      <c r="N83" s="868"/>
      <c r="O83" s="868"/>
      <c r="P83" s="868"/>
      <c r="Q83" s="868"/>
      <c r="R83" s="868"/>
      <c r="S83" s="868"/>
      <c r="T83" s="886" t="s">
        <v>648</v>
      </c>
      <c r="U83" s="885">
        <v>14.273981091800852</v>
      </c>
      <c r="V83" s="885">
        <v>13.541982061452087</v>
      </c>
      <c r="W83" s="885">
        <v>12.077984000754563</v>
      </c>
      <c r="X83" s="885">
        <v>9.88198690970828</v>
      </c>
      <c r="Y83" s="884">
        <v>9.88198690970828</v>
      </c>
      <c r="Z83" s="880"/>
      <c r="AA83" s="880"/>
      <c r="AB83" s="868"/>
    </row>
    <row r="84" spans="1:28" ht="13.5" customHeight="1" thickBot="1">
      <c r="A84" s="868"/>
      <c r="B84" s="875" t="s">
        <v>647</v>
      </c>
      <c r="C84" s="874" t="s">
        <v>646</v>
      </c>
      <c r="D84" s="874"/>
      <c r="E84" s="874"/>
      <c r="F84" s="874"/>
      <c r="G84" s="874"/>
      <c r="H84" s="874"/>
      <c r="I84" s="873"/>
      <c r="J84" s="868"/>
      <c r="K84" s="868"/>
      <c r="L84" s="868"/>
      <c r="M84" s="868"/>
      <c r="N84" s="868"/>
      <c r="O84" s="868"/>
      <c r="P84" s="868"/>
      <c r="Q84" s="868"/>
      <c r="R84" s="868"/>
      <c r="S84" s="868"/>
      <c r="T84" s="883" t="s">
        <v>592</v>
      </c>
      <c r="U84" s="882">
        <v>14.273981091800852</v>
      </c>
      <c r="V84" s="882">
        <v>13.541982061452087</v>
      </c>
      <c r="W84" s="882">
        <v>12.077984000754563</v>
      </c>
      <c r="X84" s="882">
        <v>9.88198690970828</v>
      </c>
      <c r="Y84" s="881">
        <v>9.88198690970828</v>
      </c>
      <c r="Z84" s="880"/>
      <c r="AA84" s="880"/>
      <c r="AB84" s="868"/>
    </row>
    <row r="85" spans="1:28" ht="13.5" customHeight="1" thickBot="1">
      <c r="A85" s="868"/>
      <c r="B85" s="875"/>
      <c r="C85" s="877" t="s">
        <v>645</v>
      </c>
      <c r="D85" s="874"/>
      <c r="E85" s="874"/>
      <c r="F85" s="874"/>
      <c r="G85" s="874"/>
      <c r="H85" s="874"/>
      <c r="I85" s="873"/>
      <c r="J85" s="868"/>
      <c r="K85" s="868"/>
      <c r="L85" s="868"/>
      <c r="M85" s="868"/>
      <c r="N85" s="868"/>
      <c r="O85" s="868"/>
      <c r="P85" s="868"/>
      <c r="Q85" s="868"/>
      <c r="R85" s="868"/>
      <c r="S85" s="868"/>
      <c r="T85" s="880"/>
      <c r="U85" s="880"/>
      <c r="V85" s="880"/>
      <c r="W85" s="880"/>
      <c r="X85" s="880"/>
      <c r="Y85" s="880"/>
      <c r="Z85" s="880"/>
      <c r="AA85" s="880"/>
      <c r="AB85" s="868"/>
    </row>
    <row r="86" spans="1:28" ht="13.5" customHeight="1">
      <c r="A86" s="868"/>
      <c r="B86" s="875"/>
      <c r="C86" s="877"/>
      <c r="D86" s="874"/>
      <c r="E86" s="874"/>
      <c r="F86" s="874"/>
      <c r="G86" s="874"/>
      <c r="H86" s="874"/>
      <c r="I86" s="873"/>
      <c r="J86" s="868"/>
      <c r="K86" s="868"/>
      <c r="L86" s="868"/>
      <c r="M86" s="868"/>
      <c r="N86" s="868"/>
      <c r="O86" s="868"/>
      <c r="P86" s="868"/>
      <c r="Q86" s="868"/>
      <c r="R86" s="868"/>
      <c r="S86" s="868"/>
      <c r="T86" s="890" t="s">
        <v>596</v>
      </c>
      <c r="U86" s="888"/>
      <c r="V86" s="888"/>
      <c r="W86" s="889">
        <v>0.014</v>
      </c>
      <c r="X86" s="888"/>
      <c r="Y86" s="887"/>
      <c r="Z86" s="880"/>
      <c r="AA86" s="880"/>
      <c r="AB86" s="868"/>
    </row>
    <row r="87" spans="1:28" ht="13.5" customHeight="1">
      <c r="A87" s="868"/>
      <c r="B87" s="875" t="s">
        <v>644</v>
      </c>
      <c r="C87" s="874" t="s">
        <v>643</v>
      </c>
      <c r="D87" s="874"/>
      <c r="E87" s="874"/>
      <c r="F87" s="874"/>
      <c r="G87" s="874"/>
      <c r="H87" s="874"/>
      <c r="I87" s="873"/>
      <c r="J87" s="868"/>
      <c r="K87" s="868"/>
      <c r="L87" s="868"/>
      <c r="M87" s="868"/>
      <c r="N87" s="868"/>
      <c r="O87" s="868"/>
      <c r="P87" s="868"/>
      <c r="Q87" s="868"/>
      <c r="R87" s="868"/>
      <c r="S87" s="868"/>
      <c r="T87" s="886" t="s">
        <v>642</v>
      </c>
      <c r="U87" s="885">
        <v>14.07414535651564</v>
      </c>
      <c r="V87" s="885">
        <v>13.352394312591757</v>
      </c>
      <c r="W87" s="885">
        <v>11.908892224744</v>
      </c>
      <c r="X87" s="885">
        <v>9.743639092972364</v>
      </c>
      <c r="Y87" s="884">
        <v>9.743639092972364</v>
      </c>
      <c r="Z87" s="880"/>
      <c r="AA87" s="880"/>
      <c r="AB87" s="868"/>
    </row>
    <row r="88" spans="1:28" ht="13.5" customHeight="1" thickBot="1">
      <c r="A88" s="868"/>
      <c r="B88" s="875" t="s">
        <v>641</v>
      </c>
      <c r="C88" s="874" t="s">
        <v>640</v>
      </c>
      <c r="D88" s="874"/>
      <c r="E88" s="874"/>
      <c r="F88" s="874"/>
      <c r="G88" s="874"/>
      <c r="H88" s="874"/>
      <c r="I88" s="873"/>
      <c r="J88" s="868"/>
      <c r="K88" s="868"/>
      <c r="L88" s="868"/>
      <c r="M88" s="868"/>
      <c r="N88" s="868"/>
      <c r="O88" s="868"/>
      <c r="P88" s="868"/>
      <c r="Q88" s="868"/>
      <c r="R88" s="868"/>
      <c r="S88" s="868"/>
      <c r="T88" s="883" t="s">
        <v>592</v>
      </c>
      <c r="U88" s="882">
        <v>14.07414535651564</v>
      </c>
      <c r="V88" s="882">
        <v>13.352394312591757</v>
      </c>
      <c r="W88" s="882">
        <v>11.908892224744</v>
      </c>
      <c r="X88" s="882">
        <v>9.743639092972364</v>
      </c>
      <c r="Y88" s="881">
        <v>9.743639092972364</v>
      </c>
      <c r="Z88" s="880"/>
      <c r="AA88" s="880"/>
      <c r="AB88" s="868"/>
    </row>
    <row r="89" spans="1:28" ht="13.5" customHeight="1">
      <c r="A89" s="868"/>
      <c r="B89" s="875"/>
      <c r="C89" s="874" t="s">
        <v>639</v>
      </c>
      <c r="D89" s="874"/>
      <c r="E89" s="874"/>
      <c r="F89" s="874"/>
      <c r="G89" s="874"/>
      <c r="H89" s="874"/>
      <c r="I89" s="873"/>
      <c r="J89" s="868"/>
      <c r="K89" s="868"/>
      <c r="L89" s="868"/>
      <c r="M89" s="868"/>
      <c r="N89" s="868"/>
      <c r="O89" s="868"/>
      <c r="P89" s="868"/>
      <c r="Q89" s="868"/>
      <c r="R89" s="868"/>
      <c r="S89" s="868"/>
      <c r="T89" s="890" t="s">
        <v>596</v>
      </c>
      <c r="U89" s="888"/>
      <c r="V89" s="888"/>
      <c r="W89" s="889">
        <v>0.014</v>
      </c>
      <c r="X89" s="888"/>
      <c r="Y89" s="887"/>
      <c r="Z89" s="880"/>
      <c r="AA89" s="880"/>
      <c r="AB89" s="868"/>
    </row>
    <row r="90" spans="1:28" ht="13.5" customHeight="1">
      <c r="A90" s="868"/>
      <c r="B90" s="875" t="s">
        <v>638</v>
      </c>
      <c r="C90" s="874" t="s">
        <v>637</v>
      </c>
      <c r="D90" s="874"/>
      <c r="E90" s="874"/>
      <c r="F90" s="874"/>
      <c r="G90" s="874"/>
      <c r="H90" s="874"/>
      <c r="I90" s="873"/>
      <c r="J90" s="868"/>
      <c r="K90" s="868"/>
      <c r="L90" s="868"/>
      <c r="M90" s="868"/>
      <c r="N90" s="868"/>
      <c r="O90" s="868"/>
      <c r="P90" s="868"/>
      <c r="Q90" s="868"/>
      <c r="R90" s="868"/>
      <c r="S90" s="868"/>
      <c r="T90" s="886" t="s">
        <v>636</v>
      </c>
      <c r="U90" s="885">
        <v>13.87710732152442</v>
      </c>
      <c r="V90" s="885">
        <v>13.165460792215473</v>
      </c>
      <c r="W90" s="885">
        <v>11.742167733597583</v>
      </c>
      <c r="X90" s="885">
        <v>9.607228145670751</v>
      </c>
      <c r="Y90" s="884">
        <v>9.607228145670751</v>
      </c>
      <c r="Z90" s="880"/>
      <c r="AA90" s="880"/>
      <c r="AB90" s="868"/>
    </row>
    <row r="91" spans="1:28" ht="13.5" customHeight="1" thickBot="1">
      <c r="A91" s="868"/>
      <c r="B91" s="875"/>
      <c r="C91" s="874"/>
      <c r="D91" s="877" t="s">
        <v>635</v>
      </c>
      <c r="E91" s="877"/>
      <c r="F91" s="891">
        <v>0.01</v>
      </c>
      <c r="G91" s="874"/>
      <c r="H91" s="874"/>
      <c r="I91" s="873"/>
      <c r="J91" s="868"/>
      <c r="K91" s="868"/>
      <c r="L91" s="868"/>
      <c r="M91" s="868"/>
      <c r="N91" s="868"/>
      <c r="O91" s="868"/>
      <c r="P91" s="868"/>
      <c r="Q91" s="868"/>
      <c r="R91" s="868"/>
      <c r="S91" s="868"/>
      <c r="T91" s="883" t="s">
        <v>592</v>
      </c>
      <c r="U91" s="882">
        <v>13.87710732152442</v>
      </c>
      <c r="V91" s="882">
        <v>13.165460792215473</v>
      </c>
      <c r="W91" s="882">
        <v>11.742167733597583</v>
      </c>
      <c r="X91" s="882">
        <v>9.607228145670751</v>
      </c>
      <c r="Y91" s="881">
        <v>9.607228145670751</v>
      </c>
      <c r="Z91" s="880"/>
      <c r="AA91" s="880"/>
      <c r="AB91" s="868"/>
    </row>
    <row r="92" spans="1:28" ht="13.5" customHeight="1">
      <c r="A92" s="868"/>
      <c r="B92" s="875"/>
      <c r="C92" s="874"/>
      <c r="D92" s="877" t="s">
        <v>634</v>
      </c>
      <c r="E92" s="877"/>
      <c r="F92" s="891">
        <v>0.014</v>
      </c>
      <c r="G92" s="874"/>
      <c r="H92" s="874"/>
      <c r="I92" s="873"/>
      <c r="J92" s="868"/>
      <c r="K92" s="868"/>
      <c r="L92" s="868"/>
      <c r="M92" s="868"/>
      <c r="N92" s="868"/>
      <c r="O92" s="868"/>
      <c r="P92" s="868"/>
      <c r="Q92" s="868"/>
      <c r="R92" s="868"/>
      <c r="S92" s="868"/>
      <c r="T92" s="890" t="s">
        <v>596</v>
      </c>
      <c r="U92" s="888"/>
      <c r="V92" s="888"/>
      <c r="W92" s="889">
        <v>0.014</v>
      </c>
      <c r="X92" s="888"/>
      <c r="Y92" s="887"/>
      <c r="Z92" s="880"/>
      <c r="AA92" s="880"/>
      <c r="AB92" s="868"/>
    </row>
    <row r="93" spans="1:28" ht="13.5" customHeight="1">
      <c r="A93" s="868"/>
      <c r="B93" s="875"/>
      <c r="C93" s="874"/>
      <c r="D93" s="877" t="s">
        <v>633</v>
      </c>
      <c r="E93" s="877"/>
      <c r="F93" s="891">
        <v>0.018</v>
      </c>
      <c r="G93" s="874"/>
      <c r="H93" s="874"/>
      <c r="I93" s="873"/>
      <c r="J93" s="868"/>
      <c r="K93" s="868"/>
      <c r="L93" s="868"/>
      <c r="M93" s="868"/>
      <c r="N93" s="868"/>
      <c r="O93" s="868"/>
      <c r="P93" s="868"/>
      <c r="Q93" s="868"/>
      <c r="R93" s="868"/>
      <c r="S93" s="868"/>
      <c r="T93" s="886" t="s">
        <v>632</v>
      </c>
      <c r="U93" s="885">
        <v>13.682827819023078</v>
      </c>
      <c r="V93" s="885">
        <v>12.981144341124457</v>
      </c>
      <c r="W93" s="885">
        <v>11.577777385327217</v>
      </c>
      <c r="X93" s="885">
        <v>9.47272695163136</v>
      </c>
      <c r="Y93" s="884">
        <v>9.47272695163136</v>
      </c>
      <c r="Z93" s="880"/>
      <c r="AA93" s="880"/>
      <c r="AB93" s="868"/>
    </row>
    <row r="94" spans="1:28" ht="13.5" customHeight="1" thickBot="1">
      <c r="A94" s="868"/>
      <c r="B94" s="875"/>
      <c r="C94" s="874"/>
      <c r="D94" s="877" t="s">
        <v>631</v>
      </c>
      <c r="E94" s="877"/>
      <c r="F94" s="891">
        <v>0.022</v>
      </c>
      <c r="G94" s="874"/>
      <c r="H94" s="874"/>
      <c r="I94" s="873"/>
      <c r="J94" s="868"/>
      <c r="K94" s="868"/>
      <c r="L94" s="868"/>
      <c r="M94" s="868"/>
      <c r="N94" s="868"/>
      <c r="O94" s="868"/>
      <c r="P94" s="868"/>
      <c r="Q94" s="868"/>
      <c r="R94" s="868"/>
      <c r="S94" s="868"/>
      <c r="T94" s="883" t="s">
        <v>592</v>
      </c>
      <c r="U94" s="882">
        <v>13.682827819023078</v>
      </c>
      <c r="V94" s="882">
        <v>12.981144341124457</v>
      </c>
      <c r="W94" s="882">
        <v>11.577777385327217</v>
      </c>
      <c r="X94" s="882">
        <v>9.47272695163136</v>
      </c>
      <c r="Y94" s="881">
        <v>9.47272695163136</v>
      </c>
      <c r="Z94" s="880"/>
      <c r="AA94" s="880"/>
      <c r="AB94" s="868"/>
    </row>
    <row r="95" spans="1:28" ht="13.5" customHeight="1" thickBot="1">
      <c r="A95" s="868"/>
      <c r="B95" s="875"/>
      <c r="C95" s="874"/>
      <c r="D95" s="877" t="s">
        <v>630</v>
      </c>
      <c r="E95" s="874"/>
      <c r="F95" s="891">
        <v>0.025</v>
      </c>
      <c r="G95" s="874"/>
      <c r="H95" s="874"/>
      <c r="I95" s="873"/>
      <c r="J95" s="868"/>
      <c r="K95" s="868"/>
      <c r="L95" s="868"/>
      <c r="M95" s="868"/>
      <c r="N95" s="868"/>
      <c r="O95" s="868"/>
      <c r="P95" s="868"/>
      <c r="Q95" s="868"/>
      <c r="R95" s="868"/>
      <c r="S95" s="868"/>
      <c r="T95" s="880"/>
      <c r="U95" s="880"/>
      <c r="V95" s="880"/>
      <c r="W95" s="880"/>
      <c r="X95" s="880"/>
      <c r="Y95" s="880"/>
      <c r="Z95" s="880"/>
      <c r="AA95" s="880"/>
      <c r="AB95" s="868"/>
    </row>
    <row r="96" spans="1:28" ht="13.5" customHeight="1">
      <c r="A96" s="868"/>
      <c r="B96" s="875"/>
      <c r="C96" s="874"/>
      <c r="D96" s="877" t="s">
        <v>629</v>
      </c>
      <c r="E96" s="874"/>
      <c r="F96" s="891">
        <v>0.028</v>
      </c>
      <c r="G96" s="874"/>
      <c r="H96" s="874"/>
      <c r="I96" s="873"/>
      <c r="J96" s="868"/>
      <c r="K96" s="868"/>
      <c r="L96" s="868"/>
      <c r="M96" s="868"/>
      <c r="N96" s="868"/>
      <c r="O96" s="868"/>
      <c r="P96" s="868"/>
      <c r="Q96" s="868"/>
      <c r="R96" s="868"/>
      <c r="S96" s="868"/>
      <c r="T96" s="890" t="s">
        <v>596</v>
      </c>
      <c r="U96" s="888"/>
      <c r="V96" s="888"/>
      <c r="W96" s="889">
        <v>0.01</v>
      </c>
      <c r="X96" s="888"/>
      <c r="Y96" s="887"/>
      <c r="Z96" s="880"/>
      <c r="AA96" s="880"/>
      <c r="AB96" s="868"/>
    </row>
    <row r="97" spans="1:28" ht="13.5" customHeight="1">
      <c r="A97" s="868"/>
      <c r="B97" s="875" t="s">
        <v>628</v>
      </c>
      <c r="C97" s="874" t="s">
        <v>627</v>
      </c>
      <c r="D97" s="874"/>
      <c r="E97" s="874"/>
      <c r="F97" s="874"/>
      <c r="G97" s="874"/>
      <c r="H97" s="874"/>
      <c r="I97" s="873"/>
      <c r="J97" s="868"/>
      <c r="K97" s="868"/>
      <c r="L97" s="868"/>
      <c r="M97" s="868"/>
      <c r="N97" s="868"/>
      <c r="O97" s="868"/>
      <c r="P97" s="868"/>
      <c r="Q97" s="868"/>
      <c r="R97" s="868"/>
      <c r="S97" s="868"/>
      <c r="T97" s="886" t="s">
        <v>626</v>
      </c>
      <c r="U97" s="885">
        <v>13.545999540832847</v>
      </c>
      <c r="V97" s="885">
        <v>12.851332897713213</v>
      </c>
      <c r="W97" s="885">
        <v>11.461999611473944</v>
      </c>
      <c r="X97" s="885">
        <v>9.377999682115046</v>
      </c>
      <c r="Y97" s="884">
        <v>9.377999682115046</v>
      </c>
      <c r="Z97" s="880"/>
      <c r="AA97" s="880"/>
      <c r="AB97" s="868"/>
    </row>
    <row r="98" spans="1:28" ht="13.5" customHeight="1" thickBot="1">
      <c r="A98" s="868"/>
      <c r="B98" s="875"/>
      <c r="C98" s="874"/>
      <c r="D98" s="877" t="s">
        <v>625</v>
      </c>
      <c r="E98" s="874"/>
      <c r="F98" s="891">
        <v>0.0025</v>
      </c>
      <c r="G98" s="874"/>
      <c r="H98" s="874"/>
      <c r="I98" s="873"/>
      <c r="J98" s="868"/>
      <c r="K98" s="868"/>
      <c r="L98" s="868"/>
      <c r="M98" s="868"/>
      <c r="N98" s="868"/>
      <c r="O98" s="868"/>
      <c r="P98" s="868"/>
      <c r="Q98" s="868"/>
      <c r="R98" s="868"/>
      <c r="S98" s="868"/>
      <c r="T98" s="883" t="s">
        <v>592</v>
      </c>
      <c r="U98" s="882">
        <v>13.545999540832847</v>
      </c>
      <c r="V98" s="882">
        <v>12.851332897713213</v>
      </c>
      <c r="W98" s="882">
        <v>11.461999611473944</v>
      </c>
      <c r="X98" s="882">
        <v>9.377999682115046</v>
      </c>
      <c r="Y98" s="881">
        <v>9.377999682115046</v>
      </c>
      <c r="Z98" s="880"/>
      <c r="AA98" s="880"/>
      <c r="AB98" s="868"/>
    </row>
    <row r="99" spans="1:28" ht="13.5" customHeight="1">
      <c r="A99" s="868"/>
      <c r="B99" s="875"/>
      <c r="C99" s="874"/>
      <c r="D99" s="877" t="s">
        <v>624</v>
      </c>
      <c r="E99" s="874"/>
      <c r="F99" s="891">
        <v>0</v>
      </c>
      <c r="G99" s="874"/>
      <c r="H99" s="874"/>
      <c r="I99" s="873"/>
      <c r="J99" s="868"/>
      <c r="K99" s="868"/>
      <c r="L99" s="868"/>
      <c r="M99" s="868"/>
      <c r="N99" s="868"/>
      <c r="O99" s="868"/>
      <c r="P99" s="868"/>
      <c r="Q99" s="868"/>
      <c r="R99" s="868"/>
      <c r="S99" s="868"/>
      <c r="T99" s="890" t="s">
        <v>596</v>
      </c>
      <c r="U99" s="888"/>
      <c r="V99" s="888"/>
      <c r="W99" s="889">
        <v>0.01</v>
      </c>
      <c r="X99" s="888"/>
      <c r="Y99" s="887"/>
      <c r="Z99" s="880"/>
      <c r="AA99" s="880"/>
      <c r="AB99" s="868"/>
    </row>
    <row r="100" spans="1:28" ht="13.5" customHeight="1">
      <c r="A100" s="868"/>
      <c r="B100" s="875"/>
      <c r="C100" s="874"/>
      <c r="D100" s="877" t="s">
        <v>623</v>
      </c>
      <c r="E100" s="874"/>
      <c r="F100" s="892">
        <v>0.015</v>
      </c>
      <c r="G100" s="874" t="s">
        <v>622</v>
      </c>
      <c r="H100" s="874"/>
      <c r="I100" s="873"/>
      <c r="J100" s="868"/>
      <c r="K100" s="868"/>
      <c r="L100" s="868"/>
      <c r="M100" s="868"/>
      <c r="N100" s="868"/>
      <c r="O100" s="868"/>
      <c r="P100" s="868"/>
      <c r="Q100" s="868"/>
      <c r="R100" s="868"/>
      <c r="S100" s="868"/>
      <c r="T100" s="886" t="s">
        <v>621</v>
      </c>
      <c r="U100" s="885">
        <v>13.410539545424518</v>
      </c>
      <c r="V100" s="885">
        <v>12.722819568736082</v>
      </c>
      <c r="W100" s="885">
        <v>11.347379615359204</v>
      </c>
      <c r="X100" s="885">
        <v>9.284219685293897</v>
      </c>
      <c r="Y100" s="884">
        <v>9.284219685293897</v>
      </c>
      <c r="Z100" s="880"/>
      <c r="AA100" s="880"/>
      <c r="AB100" s="868"/>
    </row>
    <row r="101" spans="1:28" ht="13.5" customHeight="1" thickBot="1">
      <c r="A101" s="868"/>
      <c r="B101" s="875" t="s">
        <v>620</v>
      </c>
      <c r="C101" s="874" t="s">
        <v>619</v>
      </c>
      <c r="D101" s="877"/>
      <c r="E101" s="874"/>
      <c r="F101" s="891"/>
      <c r="G101" s="874"/>
      <c r="H101" s="874"/>
      <c r="I101" s="873"/>
      <c r="J101" s="868"/>
      <c r="K101" s="868"/>
      <c r="L101" s="868"/>
      <c r="M101" s="868"/>
      <c r="N101" s="868"/>
      <c r="O101" s="868"/>
      <c r="P101" s="868"/>
      <c r="Q101" s="868"/>
      <c r="R101" s="868"/>
      <c r="S101" s="868"/>
      <c r="T101" s="883" t="s">
        <v>592</v>
      </c>
      <c r="U101" s="882">
        <v>13.410539545424518</v>
      </c>
      <c r="V101" s="882">
        <v>12.722819568736082</v>
      </c>
      <c r="W101" s="882">
        <v>11.347379615359204</v>
      </c>
      <c r="X101" s="882">
        <v>9.284219685293897</v>
      </c>
      <c r="Y101" s="881">
        <v>9.284219685293897</v>
      </c>
      <c r="Z101" s="880"/>
      <c r="AA101" s="880"/>
      <c r="AB101" s="868"/>
    </row>
    <row r="102" spans="1:28" ht="13.5" customHeight="1">
      <c r="A102" s="868"/>
      <c r="B102" s="875" t="s">
        <v>618</v>
      </c>
      <c r="C102" s="874" t="s">
        <v>617</v>
      </c>
      <c r="D102" s="874"/>
      <c r="E102" s="874"/>
      <c r="F102" s="874"/>
      <c r="G102" s="874"/>
      <c r="H102" s="874"/>
      <c r="I102" s="873"/>
      <c r="J102" s="868"/>
      <c r="K102" s="868"/>
      <c r="L102" s="868"/>
      <c r="M102" s="868"/>
      <c r="N102" s="868"/>
      <c r="O102" s="868"/>
      <c r="P102" s="868"/>
      <c r="Q102" s="868"/>
      <c r="R102" s="868"/>
      <c r="S102" s="868"/>
      <c r="T102" s="890" t="s">
        <v>596</v>
      </c>
      <c r="U102" s="888"/>
      <c r="V102" s="888"/>
      <c r="W102" s="889">
        <v>0.01</v>
      </c>
      <c r="X102" s="888"/>
      <c r="Y102" s="887"/>
      <c r="Z102" s="880"/>
      <c r="AA102" s="880"/>
      <c r="AB102" s="868"/>
    </row>
    <row r="103" spans="1:28" ht="13.5" customHeight="1">
      <c r="A103" s="868"/>
      <c r="B103" s="875"/>
      <c r="C103" s="877"/>
      <c r="D103" s="874"/>
      <c r="E103" s="874"/>
      <c r="F103" s="874"/>
      <c r="G103" s="874"/>
      <c r="H103" s="874"/>
      <c r="I103" s="873"/>
      <c r="J103" s="868"/>
      <c r="K103" s="868"/>
      <c r="L103" s="868"/>
      <c r="M103" s="868"/>
      <c r="N103" s="868"/>
      <c r="O103" s="868"/>
      <c r="P103" s="868"/>
      <c r="Q103" s="868"/>
      <c r="R103" s="868"/>
      <c r="S103" s="868"/>
      <c r="T103" s="886" t="s">
        <v>616</v>
      </c>
      <c r="U103" s="885">
        <v>13.276434149970273</v>
      </c>
      <c r="V103" s="885">
        <v>12.595591373048721</v>
      </c>
      <c r="W103" s="885">
        <v>11.233905819205612</v>
      </c>
      <c r="X103" s="885">
        <v>9.191377488440958</v>
      </c>
      <c r="Y103" s="884">
        <v>9.191377488440958</v>
      </c>
      <c r="Z103" s="880"/>
      <c r="AA103" s="880"/>
      <c r="AB103" s="868"/>
    </row>
    <row r="104" spans="1:28" ht="13.5" customHeight="1" thickBot="1">
      <c r="A104" s="868"/>
      <c r="B104" s="875" t="s">
        <v>615</v>
      </c>
      <c r="C104" s="874" t="s">
        <v>614</v>
      </c>
      <c r="D104" s="874"/>
      <c r="E104" s="874"/>
      <c r="F104" s="874"/>
      <c r="G104" s="874"/>
      <c r="H104" s="874"/>
      <c r="I104" s="873"/>
      <c r="J104" s="868"/>
      <c r="K104" s="868"/>
      <c r="L104" s="868"/>
      <c r="M104" s="868"/>
      <c r="N104" s="868"/>
      <c r="O104" s="868"/>
      <c r="P104" s="868"/>
      <c r="Q104" s="868"/>
      <c r="R104" s="868"/>
      <c r="S104" s="868"/>
      <c r="T104" s="883" t="s">
        <v>592</v>
      </c>
      <c r="U104" s="882">
        <v>13.276434149970273</v>
      </c>
      <c r="V104" s="882">
        <v>12.595591373048721</v>
      </c>
      <c r="W104" s="882">
        <v>11.233905819205612</v>
      </c>
      <c r="X104" s="882">
        <v>9.191377488440958</v>
      </c>
      <c r="Y104" s="881">
        <v>9.191377488440958</v>
      </c>
      <c r="Z104" s="880"/>
      <c r="AA104" s="880"/>
      <c r="AB104" s="868"/>
    </row>
    <row r="105" spans="1:28" ht="13.5" customHeight="1" thickBot="1">
      <c r="A105" s="868"/>
      <c r="B105" s="875" t="s">
        <v>613</v>
      </c>
      <c r="C105" s="874" t="s">
        <v>612</v>
      </c>
      <c r="D105" s="874"/>
      <c r="E105" s="877" t="s">
        <v>611</v>
      </c>
      <c r="F105" s="877"/>
      <c r="G105" s="877" t="s">
        <v>610</v>
      </c>
      <c r="H105" s="874"/>
      <c r="I105" s="873"/>
      <c r="J105" s="868"/>
      <c r="K105" s="868"/>
      <c r="L105" s="868"/>
      <c r="M105" s="868"/>
      <c r="N105" s="868"/>
      <c r="O105" s="868"/>
      <c r="P105" s="868"/>
      <c r="Q105" s="868"/>
      <c r="R105" s="868"/>
      <c r="S105" s="868"/>
      <c r="T105" s="880"/>
      <c r="U105" s="880"/>
      <c r="V105" s="880"/>
      <c r="W105" s="880"/>
      <c r="X105" s="880"/>
      <c r="Y105" s="880"/>
      <c r="Z105" s="880"/>
      <c r="AA105" s="880"/>
      <c r="AB105" s="868"/>
    </row>
    <row r="106" spans="1:28" ht="13.5" customHeight="1">
      <c r="A106" s="868"/>
      <c r="B106" s="875"/>
      <c r="C106" s="874"/>
      <c r="D106" s="874"/>
      <c r="E106" s="877" t="s">
        <v>609</v>
      </c>
      <c r="F106" s="877"/>
      <c r="G106" s="877" t="s">
        <v>608</v>
      </c>
      <c r="H106" s="874"/>
      <c r="I106" s="873"/>
      <c r="J106" s="868"/>
      <c r="K106" s="868"/>
      <c r="L106" s="868"/>
      <c r="M106" s="868"/>
      <c r="N106" s="868"/>
      <c r="O106" s="868"/>
      <c r="P106" s="868"/>
      <c r="Q106" s="868"/>
      <c r="R106" s="868"/>
      <c r="S106" s="868"/>
      <c r="T106" s="890" t="s">
        <v>596</v>
      </c>
      <c r="U106" s="888"/>
      <c r="V106" s="888"/>
      <c r="W106" s="889">
        <v>0.01</v>
      </c>
      <c r="X106" s="888"/>
      <c r="Y106" s="887"/>
      <c r="Z106" s="880"/>
      <c r="AA106" s="880"/>
      <c r="AB106" s="868"/>
    </row>
    <row r="107" spans="1:28" ht="13.5" customHeight="1">
      <c r="A107" s="868"/>
      <c r="B107" s="875" t="s">
        <v>607</v>
      </c>
      <c r="C107" s="874" t="s">
        <v>606</v>
      </c>
      <c r="D107" s="874"/>
      <c r="E107" s="874"/>
      <c r="F107" s="874"/>
      <c r="G107" s="874"/>
      <c r="H107" s="874"/>
      <c r="I107" s="873"/>
      <c r="J107" s="868"/>
      <c r="K107" s="868"/>
      <c r="L107" s="868"/>
      <c r="M107" s="868"/>
      <c r="N107" s="868"/>
      <c r="O107" s="868"/>
      <c r="P107" s="868"/>
      <c r="Q107" s="868"/>
      <c r="R107" s="868"/>
      <c r="S107" s="868"/>
      <c r="T107" s="886" t="s">
        <v>605</v>
      </c>
      <c r="U107" s="885">
        <v>13.14366980847057</v>
      </c>
      <c r="V107" s="885">
        <v>12.469635459318233</v>
      </c>
      <c r="W107" s="885">
        <v>11.121566761013556</v>
      </c>
      <c r="X107" s="885">
        <v>9.099463713556549</v>
      </c>
      <c r="Y107" s="884">
        <v>9.099463713556549</v>
      </c>
      <c r="Z107" s="880"/>
      <c r="AA107" s="880"/>
      <c r="AB107" s="868"/>
    </row>
    <row r="108" spans="1:28" ht="13.5" customHeight="1" thickBot="1">
      <c r="A108" s="868"/>
      <c r="B108" s="875"/>
      <c r="C108" s="874" t="s">
        <v>604</v>
      </c>
      <c r="D108" s="874"/>
      <c r="E108" s="874"/>
      <c r="F108" s="877" t="s">
        <v>603</v>
      </c>
      <c r="G108" s="874"/>
      <c r="H108" s="874"/>
      <c r="I108" s="873"/>
      <c r="J108" s="868"/>
      <c r="K108" s="868"/>
      <c r="L108" s="868"/>
      <c r="M108" s="868"/>
      <c r="N108" s="868"/>
      <c r="O108" s="868"/>
      <c r="P108" s="868"/>
      <c r="Q108" s="868"/>
      <c r="R108" s="868"/>
      <c r="S108" s="868"/>
      <c r="T108" s="883" t="s">
        <v>592</v>
      </c>
      <c r="U108" s="882">
        <v>13.14366980847057</v>
      </c>
      <c r="V108" s="882">
        <v>12.469635459318233</v>
      </c>
      <c r="W108" s="882">
        <v>11.121566761013556</v>
      </c>
      <c r="X108" s="882">
        <v>9.099463713556549</v>
      </c>
      <c r="Y108" s="881">
        <v>9.099463713556549</v>
      </c>
      <c r="Z108" s="880"/>
      <c r="AA108" s="880"/>
      <c r="AB108" s="868"/>
    </row>
    <row r="109" spans="1:28" ht="13.5" customHeight="1">
      <c r="A109" s="868"/>
      <c r="B109" s="875"/>
      <c r="C109" s="877"/>
      <c r="D109" s="874"/>
      <c r="E109" s="874"/>
      <c r="F109" s="874"/>
      <c r="G109" s="874"/>
      <c r="H109" s="874"/>
      <c r="I109" s="873"/>
      <c r="J109" s="868"/>
      <c r="K109" s="868"/>
      <c r="L109" s="868"/>
      <c r="M109" s="868"/>
      <c r="N109" s="868"/>
      <c r="O109" s="868"/>
      <c r="P109" s="868"/>
      <c r="Q109" s="868"/>
      <c r="R109" s="868"/>
      <c r="S109" s="868"/>
      <c r="T109" s="890" t="s">
        <v>596</v>
      </c>
      <c r="U109" s="888"/>
      <c r="V109" s="888"/>
      <c r="W109" s="889">
        <v>0.01</v>
      </c>
      <c r="X109" s="888"/>
      <c r="Y109" s="887"/>
      <c r="Z109" s="880"/>
      <c r="AA109" s="880"/>
      <c r="AB109" s="868"/>
    </row>
    <row r="110" spans="1:28" ht="13.5" customHeight="1">
      <c r="A110" s="868"/>
      <c r="B110" s="875" t="s">
        <v>602</v>
      </c>
      <c r="C110" s="874" t="s">
        <v>601</v>
      </c>
      <c r="D110" s="874"/>
      <c r="E110" s="874"/>
      <c r="F110" s="879">
        <v>9.23</v>
      </c>
      <c r="G110" s="877" t="s">
        <v>590</v>
      </c>
      <c r="H110" s="874"/>
      <c r="I110" s="873"/>
      <c r="J110" s="868"/>
      <c r="K110" s="868"/>
      <c r="L110" s="868"/>
      <c r="M110" s="868"/>
      <c r="N110" s="868"/>
      <c r="O110" s="868"/>
      <c r="P110" s="868"/>
      <c r="Q110" s="868"/>
      <c r="R110" s="868"/>
      <c r="S110" s="868"/>
      <c r="T110" s="886" t="s">
        <v>600</v>
      </c>
      <c r="U110" s="885">
        <v>13.012233110385864</v>
      </c>
      <c r="V110" s="885">
        <v>12.344939104725052</v>
      </c>
      <c r="W110" s="885">
        <v>11.01035109340342</v>
      </c>
      <c r="X110" s="885">
        <v>9.008469076420983</v>
      </c>
      <c r="Y110" s="884">
        <v>9.008469076420983</v>
      </c>
      <c r="Z110" s="880"/>
      <c r="AA110" s="880"/>
      <c r="AB110" s="868"/>
    </row>
    <row r="111" spans="1:28" ht="13.5" customHeight="1" thickBot="1">
      <c r="A111" s="868"/>
      <c r="B111" s="875" t="s">
        <v>599</v>
      </c>
      <c r="C111" s="874" t="s">
        <v>598</v>
      </c>
      <c r="D111" s="874"/>
      <c r="E111" s="874"/>
      <c r="F111" s="879"/>
      <c r="G111" s="877"/>
      <c r="H111" s="874"/>
      <c r="I111" s="873"/>
      <c r="J111" s="868"/>
      <c r="K111" s="868"/>
      <c r="L111" s="868"/>
      <c r="M111" s="868"/>
      <c r="N111" s="868"/>
      <c r="O111" s="868"/>
      <c r="P111" s="868"/>
      <c r="Q111" s="868"/>
      <c r="R111" s="868"/>
      <c r="S111" s="868"/>
      <c r="T111" s="883" t="s">
        <v>592</v>
      </c>
      <c r="U111" s="882">
        <v>13.012233110385864</v>
      </c>
      <c r="V111" s="882">
        <v>12.344939104725052</v>
      </c>
      <c r="W111" s="882">
        <v>11.01035109340342</v>
      </c>
      <c r="X111" s="882">
        <v>9.008469076420983</v>
      </c>
      <c r="Y111" s="881">
        <v>9.008469076420983</v>
      </c>
      <c r="Z111" s="880"/>
      <c r="AA111" s="880"/>
      <c r="AB111" s="868"/>
    </row>
    <row r="112" spans="1:28" ht="13.5" customHeight="1">
      <c r="A112" s="868"/>
      <c r="B112" s="875"/>
      <c r="C112" s="874"/>
      <c r="D112" s="874" t="s">
        <v>597</v>
      </c>
      <c r="E112" s="874"/>
      <c r="F112" s="879">
        <v>13.15</v>
      </c>
      <c r="G112" s="877" t="s">
        <v>590</v>
      </c>
      <c r="H112" s="874"/>
      <c r="I112" s="873"/>
      <c r="J112" s="868"/>
      <c r="K112" s="868"/>
      <c r="L112" s="868"/>
      <c r="M112" s="868"/>
      <c r="N112" s="868"/>
      <c r="O112" s="868"/>
      <c r="P112" s="868"/>
      <c r="Q112" s="868"/>
      <c r="R112" s="868"/>
      <c r="S112" s="868"/>
      <c r="T112" s="890" t="s">
        <v>596</v>
      </c>
      <c r="U112" s="888"/>
      <c r="V112" s="888"/>
      <c r="W112" s="889">
        <v>0.01</v>
      </c>
      <c r="X112" s="888"/>
      <c r="Y112" s="887"/>
      <c r="Z112" s="880"/>
      <c r="AA112" s="880"/>
      <c r="AB112" s="868"/>
    </row>
    <row r="113" spans="1:28" ht="13.5" customHeight="1">
      <c r="A113" s="868"/>
      <c r="B113" s="875"/>
      <c r="C113" s="874"/>
      <c r="D113" s="874" t="s">
        <v>595</v>
      </c>
      <c r="E113" s="874"/>
      <c r="F113" s="879">
        <v>12.8</v>
      </c>
      <c r="G113" s="877" t="s">
        <v>590</v>
      </c>
      <c r="H113" s="874"/>
      <c r="I113" s="873"/>
      <c r="J113" s="868"/>
      <c r="K113" s="868"/>
      <c r="L113" s="868"/>
      <c r="M113" s="868"/>
      <c r="N113" s="868"/>
      <c r="O113" s="868"/>
      <c r="P113" s="868"/>
      <c r="Q113" s="868"/>
      <c r="R113" s="868"/>
      <c r="S113" s="868"/>
      <c r="T113" s="886" t="s">
        <v>594</v>
      </c>
      <c r="U113" s="885">
        <v>12.882110779282005</v>
      </c>
      <c r="V113" s="885">
        <v>12.221489713677801</v>
      </c>
      <c r="W113" s="885">
        <v>10.900247582469385</v>
      </c>
      <c r="X113" s="885">
        <v>8.918384385656774</v>
      </c>
      <c r="Y113" s="884">
        <v>8.918384385656774</v>
      </c>
      <c r="Z113" s="880"/>
      <c r="AA113" s="880"/>
      <c r="AB113" s="868"/>
    </row>
    <row r="114" spans="1:28" ht="13.5" customHeight="1" thickBot="1">
      <c r="A114" s="868"/>
      <c r="B114" s="875"/>
      <c r="C114" s="874"/>
      <c r="D114" s="874" t="s">
        <v>593</v>
      </c>
      <c r="E114" s="874"/>
      <c r="F114" s="879">
        <v>11.49</v>
      </c>
      <c r="G114" s="877" t="s">
        <v>590</v>
      </c>
      <c r="H114" s="874"/>
      <c r="I114" s="873"/>
      <c r="J114" s="868"/>
      <c r="K114" s="868"/>
      <c r="L114" s="868"/>
      <c r="M114" s="868"/>
      <c r="N114" s="868"/>
      <c r="O114" s="868"/>
      <c r="P114" s="868"/>
      <c r="Q114" s="868"/>
      <c r="R114" s="868"/>
      <c r="S114" s="868"/>
      <c r="T114" s="883" t="s">
        <v>592</v>
      </c>
      <c r="U114" s="882">
        <v>12.882110779282005</v>
      </c>
      <c r="V114" s="882">
        <v>12.221489713677801</v>
      </c>
      <c r="W114" s="882">
        <v>10.900247582469385</v>
      </c>
      <c r="X114" s="882">
        <v>8.918384385656774</v>
      </c>
      <c r="Y114" s="881">
        <v>8.918384385656774</v>
      </c>
      <c r="Z114" s="880"/>
      <c r="AA114" s="880"/>
      <c r="AB114" s="868"/>
    </row>
    <row r="115" spans="1:28" ht="13.5" customHeight="1">
      <c r="A115" s="868"/>
      <c r="B115" s="875"/>
      <c r="C115" s="874"/>
      <c r="D115" s="874" t="s">
        <v>591</v>
      </c>
      <c r="E115" s="874"/>
      <c r="F115" s="879">
        <v>9.23</v>
      </c>
      <c r="G115" s="877" t="s">
        <v>590</v>
      </c>
      <c r="H115" s="874"/>
      <c r="I115" s="873"/>
      <c r="J115" s="868"/>
      <c r="K115" s="868"/>
      <c r="L115" s="868"/>
      <c r="M115" s="868"/>
      <c r="N115" s="868"/>
      <c r="O115" s="868"/>
      <c r="P115" s="868"/>
      <c r="Q115" s="868"/>
      <c r="R115" s="868"/>
      <c r="S115" s="868"/>
      <c r="T115" s="868"/>
      <c r="U115" s="868"/>
      <c r="V115" s="868"/>
      <c r="W115" s="868"/>
      <c r="X115" s="868"/>
      <c r="Y115" s="868"/>
      <c r="Z115" s="868"/>
      <c r="AA115" s="868"/>
      <c r="AB115" s="868"/>
    </row>
    <row r="116" spans="1:28" ht="13.5" customHeight="1">
      <c r="A116" s="868"/>
      <c r="B116" s="875" t="s">
        <v>589</v>
      </c>
      <c r="C116" s="874" t="s">
        <v>588</v>
      </c>
      <c r="D116" s="874"/>
      <c r="E116" s="874"/>
      <c r="F116" s="878"/>
      <c r="G116" s="874"/>
      <c r="H116" s="874"/>
      <c r="I116" s="873"/>
      <c r="J116" s="868"/>
      <c r="K116" s="868"/>
      <c r="L116" s="868"/>
      <c r="M116" s="868"/>
      <c r="N116" s="868"/>
      <c r="O116" s="868"/>
      <c r="P116" s="868"/>
      <c r="Q116" s="868"/>
      <c r="R116" s="868"/>
      <c r="S116" s="868"/>
      <c r="T116" s="868"/>
      <c r="U116" s="868"/>
      <c r="V116" s="868"/>
      <c r="W116" s="868"/>
      <c r="X116" s="868"/>
      <c r="Y116" s="868"/>
      <c r="Z116" s="868"/>
      <c r="AA116" s="868"/>
      <c r="AB116" s="868"/>
    </row>
    <row r="117" spans="1:28" ht="13.5" customHeight="1">
      <c r="A117" s="868"/>
      <c r="B117" s="875"/>
      <c r="C117" s="877"/>
      <c r="D117" s="874"/>
      <c r="E117" s="874"/>
      <c r="F117" s="874"/>
      <c r="G117" s="874"/>
      <c r="H117" s="874"/>
      <c r="I117" s="873"/>
      <c r="J117" s="868"/>
      <c r="K117" s="868"/>
      <c r="L117" s="868"/>
      <c r="M117" s="868"/>
      <c r="N117" s="868"/>
      <c r="O117" s="868"/>
      <c r="P117" s="868"/>
      <c r="Q117" s="868"/>
      <c r="R117" s="868"/>
      <c r="S117" s="868"/>
      <c r="T117" s="868"/>
      <c r="U117" s="868"/>
      <c r="V117" s="868"/>
      <c r="W117" s="868"/>
      <c r="X117" s="868"/>
      <c r="Y117" s="868"/>
      <c r="Z117" s="868"/>
      <c r="AA117" s="868"/>
      <c r="AB117" s="868"/>
    </row>
    <row r="118" spans="1:28" ht="13.5" customHeight="1">
      <c r="A118" s="868"/>
      <c r="B118" s="875" t="s">
        <v>587</v>
      </c>
      <c r="C118" s="876" t="s">
        <v>586</v>
      </c>
      <c r="D118" s="874"/>
      <c r="E118" s="874"/>
      <c r="F118" s="874"/>
      <c r="G118" s="874"/>
      <c r="H118" s="874"/>
      <c r="I118" s="873"/>
      <c r="J118" s="868"/>
      <c r="K118" s="868"/>
      <c r="L118" s="868"/>
      <c r="M118" s="868"/>
      <c r="N118" s="868"/>
      <c r="O118" s="868"/>
      <c r="P118" s="868"/>
      <c r="Q118" s="868"/>
      <c r="R118" s="868"/>
      <c r="S118" s="868"/>
      <c r="T118" s="868"/>
      <c r="U118" s="868"/>
      <c r="V118" s="868"/>
      <c r="W118" s="868"/>
      <c r="X118" s="868"/>
      <c r="Y118" s="868"/>
      <c r="Z118" s="868"/>
      <c r="AA118" s="868"/>
      <c r="AB118" s="868"/>
    </row>
    <row r="119" spans="1:28" ht="13.5" customHeight="1">
      <c r="A119" s="868"/>
      <c r="B119" s="875" t="s">
        <v>585</v>
      </c>
      <c r="C119" s="874"/>
      <c r="D119" s="874" t="s">
        <v>584</v>
      </c>
      <c r="E119" s="874"/>
      <c r="F119" s="874"/>
      <c r="G119" s="874"/>
      <c r="H119" s="874"/>
      <c r="I119" s="873"/>
      <c r="J119" s="868"/>
      <c r="K119" s="868"/>
      <c r="L119" s="868"/>
      <c r="M119" s="868"/>
      <c r="N119" s="868"/>
      <c r="O119" s="868"/>
      <c r="P119" s="868"/>
      <c r="Q119" s="868"/>
      <c r="R119" s="868"/>
      <c r="S119" s="868"/>
      <c r="T119" s="868"/>
      <c r="U119" s="868"/>
      <c r="V119" s="868"/>
      <c r="W119" s="868"/>
      <c r="X119" s="868"/>
      <c r="Y119" s="868"/>
      <c r="Z119" s="868"/>
      <c r="AA119" s="868"/>
      <c r="AB119" s="868"/>
    </row>
    <row r="120" spans="1:28" ht="13.5" customHeight="1">
      <c r="A120" s="868"/>
      <c r="B120" s="875" t="s">
        <v>583</v>
      </c>
      <c r="C120" s="874"/>
      <c r="D120" s="874" t="s">
        <v>582</v>
      </c>
      <c r="E120" s="874"/>
      <c r="F120" s="874"/>
      <c r="G120" s="874"/>
      <c r="H120" s="874"/>
      <c r="I120" s="873"/>
      <c r="J120" s="868"/>
      <c r="K120" s="868"/>
      <c r="L120" s="868"/>
      <c r="M120" s="868"/>
      <c r="N120" s="868"/>
      <c r="O120" s="868"/>
      <c r="P120" s="868"/>
      <c r="Q120" s="868"/>
      <c r="R120" s="868"/>
      <c r="S120" s="868"/>
      <c r="T120" s="868"/>
      <c r="U120" s="868"/>
      <c r="V120" s="868"/>
      <c r="W120" s="868"/>
      <c r="X120" s="868"/>
      <c r="Y120" s="868"/>
      <c r="Z120" s="868"/>
      <c r="AA120" s="868"/>
      <c r="AB120" s="868"/>
    </row>
    <row r="121" spans="1:28" ht="13.5" customHeight="1">
      <c r="A121" s="868"/>
      <c r="B121" s="875" t="s">
        <v>581</v>
      </c>
      <c r="C121" s="874"/>
      <c r="D121" s="874" t="s">
        <v>580</v>
      </c>
      <c r="E121" s="874"/>
      <c r="F121" s="874"/>
      <c r="G121" s="874"/>
      <c r="H121" s="874"/>
      <c r="I121" s="873"/>
      <c r="J121" s="868"/>
      <c r="K121" s="868"/>
      <c r="L121" s="868"/>
      <c r="M121" s="868"/>
      <c r="N121" s="868"/>
      <c r="O121" s="868"/>
      <c r="P121" s="868"/>
      <c r="Q121" s="868"/>
      <c r="R121" s="868"/>
      <c r="S121" s="868"/>
      <c r="T121" s="868"/>
      <c r="U121" s="868"/>
      <c r="V121" s="868"/>
      <c r="W121" s="868"/>
      <c r="X121" s="868"/>
      <c r="Y121" s="868"/>
      <c r="Z121" s="868"/>
      <c r="AA121" s="868"/>
      <c r="AB121" s="868"/>
    </row>
    <row r="122" spans="1:28" ht="13.5" customHeight="1">
      <c r="A122" s="868"/>
      <c r="B122" s="875" t="s">
        <v>579</v>
      </c>
      <c r="C122" s="874" t="s">
        <v>578</v>
      </c>
      <c r="D122" s="874"/>
      <c r="E122" s="874"/>
      <c r="F122" s="874"/>
      <c r="G122" s="874"/>
      <c r="H122" s="874"/>
      <c r="I122" s="873"/>
      <c r="J122" s="868"/>
      <c r="K122" s="868"/>
      <c r="L122" s="868"/>
      <c r="M122" s="868"/>
      <c r="N122" s="868"/>
      <c r="O122" s="868"/>
      <c r="P122" s="868"/>
      <c r="Q122" s="868"/>
      <c r="R122" s="868"/>
      <c r="S122" s="868"/>
      <c r="T122" s="868"/>
      <c r="U122" s="868"/>
      <c r="V122" s="868"/>
      <c r="W122" s="868"/>
      <c r="X122" s="868"/>
      <c r="Y122" s="868"/>
      <c r="Z122" s="868"/>
      <c r="AA122" s="868"/>
      <c r="AB122" s="868"/>
    </row>
    <row r="123" spans="1:28" ht="13.5" customHeight="1" thickBot="1">
      <c r="A123" s="868"/>
      <c r="B123" s="872" t="s">
        <v>577</v>
      </c>
      <c r="C123" s="871" t="s">
        <v>576</v>
      </c>
      <c r="D123" s="871"/>
      <c r="E123" s="871"/>
      <c r="F123" s="871"/>
      <c r="G123" s="871"/>
      <c r="H123" s="871"/>
      <c r="I123" s="870"/>
      <c r="J123" s="868"/>
      <c r="K123" s="868"/>
      <c r="L123" s="868"/>
      <c r="M123" s="868"/>
      <c r="N123" s="868"/>
      <c r="O123" s="868"/>
      <c r="P123" s="868"/>
      <c r="Q123" s="868"/>
      <c r="R123" s="868"/>
      <c r="S123" s="868"/>
      <c r="T123" s="868"/>
      <c r="U123" s="868"/>
      <c r="V123" s="868"/>
      <c r="W123" s="868"/>
      <c r="X123" s="868"/>
      <c r="Y123" s="868"/>
      <c r="Z123" s="868"/>
      <c r="AA123" s="868"/>
      <c r="AB123" s="868"/>
    </row>
    <row r="124" spans="1:28" ht="13.5" thickTop="1">
      <c r="A124" s="869"/>
      <c r="B124" s="869"/>
      <c r="C124" s="869"/>
      <c r="D124" s="869"/>
      <c r="E124" s="869"/>
      <c r="F124" s="869"/>
      <c r="G124" s="869"/>
      <c r="H124" s="869"/>
      <c r="I124" s="869"/>
      <c r="J124" s="869"/>
      <c r="K124" s="869"/>
      <c r="L124" s="869"/>
      <c r="M124" s="869"/>
      <c r="N124" s="869"/>
      <c r="O124" s="869"/>
      <c r="P124" s="869"/>
      <c r="Q124" s="869"/>
      <c r="R124" s="869"/>
      <c r="S124" s="869"/>
      <c r="T124" s="868"/>
      <c r="U124" s="868"/>
      <c r="V124" s="868"/>
      <c r="W124" s="868"/>
      <c r="X124" s="868"/>
      <c r="Y124" s="868"/>
      <c r="Z124" s="868"/>
      <c r="AA124" s="868"/>
      <c r="AB124" s="868"/>
    </row>
  </sheetData>
  <sheetProtection sheet="1"/>
  <mergeCells count="1">
    <mergeCell ref="G2:G4"/>
  </mergeCells>
  <hyperlinks>
    <hyperlink ref="U9" r:id="rId1" display="http://www.solarwirtschaft.de/unsere-themen/erneuerbare-energien-gesetz"/>
    <hyperlink ref="U5" r:id="rId2" display="http://www.erneuerbare-energien.de/erneuerbare_energien/pv-novelle_2012/doc/48542.php"/>
    <hyperlink ref="U6" r:id="rId3" display="http://www.bmu.de/erneuerbare_energien/downloads/doc/48898.php"/>
    <hyperlink ref="U8" r:id="rId4" display="http://www.bundesnetzagentur.de/cln_1931/DE/Sachgebiete/ElektrizitaetGas/ErneuerbareEnergienGesetz/VerguetungssaetzePVAnlagen/VerguetungssaetzePhotovoltaik_Basepage.html?nn=135464"/>
    <hyperlink ref="U7" r:id="rId5" display="http://www.clearingstelle-eeg.de/fotovoltaik/"/>
    <hyperlink ref="G2:G4" location="Programmbeschreibung!A1" display="Zurück"/>
    <hyperlink ref="K13" r:id="rId6" display="http://www.bundesnetzagentur.de/cln_1931/DE/Sachgebiete/ElektrizitaetundGas/Unternehmen_Institutionen/ErneuerbareEnergien/Photovoltaik/DatenMeldgn_EEG-VergSaetze/DatenMeldgn_EEG-VergSaetze_node.html"/>
  </hyperlinks>
  <printOptions/>
  <pageMargins left="0.5905511811023623" right="0.5905511811023623" top="0.7874015748031497" bottom="0.7874015748031497" header="0.31496062992125984" footer="0.31496062992125984"/>
  <pageSetup fitToHeight="2" fitToWidth="2" horizontalDpi="600" verticalDpi="600" orientation="portrait" paperSize="9" scale="81" r:id="rId10"/>
  <headerFooter>
    <oddFooter>&amp;L&amp;8LEL Schwäbisch Gmünd; Abt. IV; LLM (WS)&amp;C&amp;8&amp;F&amp;R&amp;8Stand: August 2014</oddFooter>
  </headerFooter>
  <rowBreaks count="1" manualBreakCount="1">
    <brk id="59" max="18" man="1"/>
  </rowBreaks>
  <drawing r:id="rId9"/>
  <legacyDrawing r:id="rId8"/>
</worksheet>
</file>

<file path=xl/worksheets/sheet6.xml><?xml version="1.0" encoding="utf-8"?>
<worksheet xmlns="http://schemas.openxmlformats.org/spreadsheetml/2006/main" xmlns:r="http://schemas.openxmlformats.org/officeDocument/2006/relationships">
  <dimension ref="A1:AE84"/>
  <sheetViews>
    <sheetView showGridLines="0" showZeros="0" zoomScalePageLayoutView="0" workbookViewId="0" topLeftCell="A1">
      <selection activeCell="A1" sqref="A1"/>
    </sheetView>
  </sheetViews>
  <sheetFormatPr defaultColWidth="3.7109375" defaultRowHeight="12.75"/>
  <cols>
    <col min="1" max="1" width="1.28515625" style="101" customWidth="1"/>
    <col min="2" max="2" width="8.7109375" style="134" customWidth="1"/>
    <col min="3" max="9" width="3.57421875" style="101" customWidth="1"/>
    <col min="10" max="10" width="4.140625" style="101" customWidth="1"/>
    <col min="11" max="30" width="3.57421875" style="101" customWidth="1"/>
    <col min="31" max="32" width="2.00390625" style="101" customWidth="1"/>
    <col min="33" max="33" width="0.5625" style="101" customWidth="1"/>
    <col min="34" max="38" width="2.00390625" style="101" customWidth="1"/>
    <col min="39" max="39" width="0.5625" style="101" customWidth="1"/>
    <col min="40" max="16384" width="3.7109375" style="101" customWidth="1"/>
  </cols>
  <sheetData>
    <row r="1" spans="1:2" s="100" customFormat="1" ht="3" customHeight="1">
      <c r="A1" s="98"/>
      <c r="B1" s="99"/>
    </row>
    <row r="2" spans="2:15" ht="3" customHeight="1">
      <c r="B2" s="102"/>
      <c r="C2" s="103"/>
      <c r="D2" s="103"/>
      <c r="E2" s="103"/>
      <c r="F2" s="103"/>
      <c r="G2" s="103"/>
      <c r="H2" s="103"/>
      <c r="I2" s="103"/>
      <c r="J2" s="103"/>
      <c r="K2" s="103"/>
      <c r="L2" s="103"/>
      <c r="M2" s="103"/>
      <c r="N2" s="103"/>
      <c r="O2" s="104"/>
    </row>
    <row r="3" spans="2:28" ht="12.75" customHeight="1">
      <c r="B3" s="105"/>
      <c r="C3" s="106" t="s">
        <v>4</v>
      </c>
      <c r="D3" s="107"/>
      <c r="E3" s="107"/>
      <c r="F3" s="107"/>
      <c r="G3" s="107"/>
      <c r="H3" s="107"/>
      <c r="I3" s="107"/>
      <c r="J3" s="107"/>
      <c r="K3" s="107"/>
      <c r="L3" s="107"/>
      <c r="M3" s="107"/>
      <c r="N3" s="107"/>
      <c r="O3" s="108"/>
      <c r="S3" s="1355" t="str">
        <f>"Solarertrag: "&amp;J4&amp;""</f>
        <v>Solarertrag: Stuttgart</v>
      </c>
      <c r="T3" s="1355"/>
      <c r="U3" s="1355"/>
      <c r="V3" s="1355"/>
      <c r="W3" s="1355"/>
      <c r="X3" s="1355"/>
      <c r="Y3" s="1355"/>
      <c r="Z3" s="1355"/>
      <c r="AA3" s="1355"/>
      <c r="AB3" s="1355"/>
    </row>
    <row r="4" spans="2:28" ht="12.75" customHeight="1">
      <c r="B4" s="105"/>
      <c r="C4" s="109" t="s">
        <v>167</v>
      </c>
      <c r="D4" s="107"/>
      <c r="E4" s="107"/>
      <c r="F4" s="107"/>
      <c r="G4" s="107"/>
      <c r="H4" s="107"/>
      <c r="I4" s="107"/>
      <c r="J4" s="109" t="str">
        <f>IF(AC83=0,B64,B54)</f>
        <v>Stuttgart</v>
      </c>
      <c r="K4" s="107"/>
      <c r="L4" s="107"/>
      <c r="M4" s="107"/>
      <c r="N4" s="107"/>
      <c r="O4" s="108"/>
      <c r="S4" s="1355"/>
      <c r="T4" s="1355"/>
      <c r="U4" s="1355"/>
      <c r="V4" s="1355"/>
      <c r="W4" s="1355"/>
      <c r="X4" s="1355"/>
      <c r="Y4" s="1355"/>
      <c r="Z4" s="1355"/>
      <c r="AA4" s="1355"/>
      <c r="AB4" s="1355"/>
    </row>
    <row r="5" spans="2:15" ht="1.5" customHeight="1">
      <c r="B5" s="105"/>
      <c r="C5" s="110"/>
      <c r="D5" s="110"/>
      <c r="E5" s="110"/>
      <c r="F5" s="110"/>
      <c r="G5" s="110"/>
      <c r="H5" s="110"/>
      <c r="I5" s="110"/>
      <c r="J5" s="110"/>
      <c r="K5" s="110"/>
      <c r="L5" s="110"/>
      <c r="M5" s="110"/>
      <c r="N5" s="110"/>
      <c r="O5" s="108"/>
    </row>
    <row r="6" spans="2:15" ht="12.75" customHeight="1">
      <c r="B6" s="105"/>
      <c r="C6" s="110"/>
      <c r="D6" s="110"/>
      <c r="E6" s="110"/>
      <c r="F6" s="110"/>
      <c r="G6" s="110"/>
      <c r="H6" s="110"/>
      <c r="I6" s="110"/>
      <c r="J6" s="110"/>
      <c r="K6" s="110"/>
      <c r="L6" s="110"/>
      <c r="M6" s="110"/>
      <c r="N6" s="110"/>
      <c r="O6" s="108"/>
    </row>
    <row r="7" spans="2:15" ht="1.5" customHeight="1">
      <c r="B7" s="105"/>
      <c r="C7" s="110"/>
      <c r="D7" s="110"/>
      <c r="E7" s="110"/>
      <c r="F7" s="110"/>
      <c r="G7" s="110"/>
      <c r="H7" s="110"/>
      <c r="I7" s="110"/>
      <c r="J7" s="110"/>
      <c r="K7" s="110"/>
      <c r="L7" s="110"/>
      <c r="M7" s="110"/>
      <c r="N7" s="110"/>
      <c r="O7" s="108"/>
    </row>
    <row r="8" spans="2:15" ht="12.75" customHeight="1">
      <c r="B8" s="105"/>
      <c r="C8" s="110"/>
      <c r="D8" s="110"/>
      <c r="E8" s="1356" t="s">
        <v>204</v>
      </c>
      <c r="F8" s="1342"/>
      <c r="G8" s="1342"/>
      <c r="H8" s="1342"/>
      <c r="I8" s="1342"/>
      <c r="J8" s="110"/>
      <c r="K8" s="1342" t="s">
        <v>132</v>
      </c>
      <c r="L8" s="1342"/>
      <c r="M8" s="1342"/>
      <c r="N8" s="110"/>
      <c r="O8" s="108"/>
    </row>
    <row r="9" spans="2:15" ht="1.5" customHeight="1">
      <c r="B9" s="111"/>
      <c r="C9" s="112"/>
      <c r="D9" s="112"/>
      <c r="E9" s="112"/>
      <c r="F9" s="112"/>
      <c r="G9" s="112"/>
      <c r="H9" s="112"/>
      <c r="I9" s="112"/>
      <c r="J9" s="112"/>
      <c r="K9" s="112"/>
      <c r="L9" s="112"/>
      <c r="M9" s="112"/>
      <c r="N9" s="112"/>
      <c r="O9" s="113"/>
    </row>
    <row r="10" spans="2:15" ht="12.75" customHeight="1">
      <c r="B10" s="111"/>
      <c r="C10" s="107" t="s">
        <v>133</v>
      </c>
      <c r="D10" s="107"/>
      <c r="E10" s="114"/>
      <c r="F10" s="1344">
        <f>E82</f>
        <v>0.913</v>
      </c>
      <c r="G10" s="1344"/>
      <c r="H10" s="1344"/>
      <c r="I10" s="115">
        <v>31</v>
      </c>
      <c r="J10" s="115">
        <f aca="true" t="shared" si="0" ref="J10:J32">F10*I10</f>
        <v>28.303</v>
      </c>
      <c r="K10" s="1345">
        <f>J10/$J$34*100</f>
        <v>2.560817492782065</v>
      </c>
      <c r="L10" s="1345"/>
      <c r="M10" s="107" t="s">
        <v>134</v>
      </c>
      <c r="N10" s="112"/>
      <c r="O10" s="113"/>
    </row>
    <row r="11" spans="2:15" ht="1.5" customHeight="1">
      <c r="B11" s="111"/>
      <c r="C11" s="112"/>
      <c r="D11" s="112"/>
      <c r="E11" s="116"/>
      <c r="F11" s="189"/>
      <c r="G11" s="189"/>
      <c r="H11" s="190"/>
      <c r="I11" s="115"/>
      <c r="J11" s="115">
        <f t="shared" si="0"/>
        <v>0</v>
      </c>
      <c r="K11" s="112"/>
      <c r="L11" s="112"/>
      <c r="M11" s="112"/>
      <c r="N11" s="112"/>
      <c r="O11" s="113"/>
    </row>
    <row r="12" spans="2:15" ht="12.75" customHeight="1">
      <c r="B12" s="111"/>
      <c r="C12" s="107" t="s">
        <v>135</v>
      </c>
      <c r="D12" s="107"/>
      <c r="E12" s="114"/>
      <c r="F12" s="1344">
        <f>G82</f>
        <v>1.644</v>
      </c>
      <c r="G12" s="1344"/>
      <c r="H12" s="1344"/>
      <c r="I12" s="115">
        <v>28</v>
      </c>
      <c r="J12" s="115">
        <f t="shared" si="0"/>
        <v>46.032</v>
      </c>
      <c r="K12" s="1345">
        <f>J12/$J$34*100</f>
        <v>4.164913642643678</v>
      </c>
      <c r="L12" s="1345"/>
      <c r="M12" s="107" t="s">
        <v>134</v>
      </c>
      <c r="N12" s="112"/>
      <c r="O12" s="113"/>
    </row>
    <row r="13" spans="2:15" ht="1.5" customHeight="1">
      <c r="B13" s="111"/>
      <c r="C13" s="112"/>
      <c r="D13" s="112"/>
      <c r="E13" s="116"/>
      <c r="F13" s="189"/>
      <c r="G13" s="189"/>
      <c r="H13" s="190"/>
      <c r="I13" s="115"/>
      <c r="J13" s="115">
        <f t="shared" si="0"/>
        <v>0</v>
      </c>
      <c r="K13" s="112"/>
      <c r="L13" s="112"/>
      <c r="M13" s="112"/>
      <c r="N13" s="112"/>
      <c r="O13" s="113"/>
    </row>
    <row r="14" spans="2:15" ht="12.75" customHeight="1">
      <c r="B14" s="111"/>
      <c r="C14" s="107" t="s">
        <v>136</v>
      </c>
      <c r="D14" s="107"/>
      <c r="E14" s="114"/>
      <c r="F14" s="1344">
        <f>I82</f>
        <v>2.568</v>
      </c>
      <c r="G14" s="1344"/>
      <c r="H14" s="1344"/>
      <c r="I14" s="115">
        <v>31</v>
      </c>
      <c r="J14" s="115">
        <f t="shared" si="0"/>
        <v>79.608</v>
      </c>
      <c r="K14" s="1345">
        <f>J14/$J$34*100</f>
        <v>7.202825105656455</v>
      </c>
      <c r="L14" s="1345"/>
      <c r="M14" s="107" t="s">
        <v>134</v>
      </c>
      <c r="N14" s="112"/>
      <c r="O14" s="113"/>
    </row>
    <row r="15" spans="2:15" ht="1.5" customHeight="1">
      <c r="B15" s="111"/>
      <c r="C15" s="112"/>
      <c r="D15" s="112"/>
      <c r="E15" s="116"/>
      <c r="F15" s="189"/>
      <c r="G15" s="189"/>
      <c r="H15" s="190"/>
      <c r="I15" s="115"/>
      <c r="J15" s="115">
        <f t="shared" si="0"/>
        <v>0</v>
      </c>
      <c r="K15" s="112"/>
      <c r="L15" s="112"/>
      <c r="M15" s="112"/>
      <c r="N15" s="112"/>
      <c r="O15" s="113"/>
    </row>
    <row r="16" spans="2:15" ht="12.75" customHeight="1">
      <c r="B16" s="111"/>
      <c r="C16" s="107" t="s">
        <v>137</v>
      </c>
      <c r="D16" s="107"/>
      <c r="E16" s="114"/>
      <c r="F16" s="1344">
        <f>K82</f>
        <v>3.908</v>
      </c>
      <c r="G16" s="1344"/>
      <c r="H16" s="1344"/>
      <c r="I16" s="115">
        <v>30</v>
      </c>
      <c r="J16" s="115">
        <f t="shared" si="0"/>
        <v>117.24</v>
      </c>
      <c r="K16" s="1345">
        <f>J16/$J$34*100</f>
        <v>10.607718010591432</v>
      </c>
      <c r="L16" s="1345"/>
      <c r="M16" s="107" t="s">
        <v>134</v>
      </c>
      <c r="N16" s="112"/>
      <c r="O16" s="113"/>
    </row>
    <row r="17" spans="2:15" ht="1.5" customHeight="1">
      <c r="B17" s="111"/>
      <c r="C17" s="112"/>
      <c r="D17" s="112"/>
      <c r="E17" s="116"/>
      <c r="F17" s="189"/>
      <c r="G17" s="189"/>
      <c r="H17" s="190"/>
      <c r="I17" s="115"/>
      <c r="J17" s="115">
        <f t="shared" si="0"/>
        <v>0</v>
      </c>
      <c r="K17" s="112"/>
      <c r="L17" s="112"/>
      <c r="M17" s="112"/>
      <c r="N17" s="112"/>
      <c r="O17" s="113"/>
    </row>
    <row r="18" spans="2:15" ht="12.75" customHeight="1">
      <c r="B18" s="111"/>
      <c r="C18" s="107" t="s">
        <v>138</v>
      </c>
      <c r="D18" s="107"/>
      <c r="E18" s="114"/>
      <c r="F18" s="1344">
        <f>M82</f>
        <v>4.935</v>
      </c>
      <c r="G18" s="1344"/>
      <c r="H18" s="1344"/>
      <c r="I18" s="115">
        <v>31</v>
      </c>
      <c r="J18" s="115">
        <f t="shared" si="0"/>
        <v>152.98499999999999</v>
      </c>
      <c r="K18" s="1345">
        <f>J18/$J$34*100</f>
        <v>13.841877685519705</v>
      </c>
      <c r="L18" s="1345"/>
      <c r="M18" s="107" t="s">
        <v>134</v>
      </c>
      <c r="N18" s="112"/>
      <c r="O18" s="113"/>
    </row>
    <row r="19" spans="2:15" ht="1.5" customHeight="1">
      <c r="B19" s="111"/>
      <c r="C19" s="112"/>
      <c r="D19" s="112"/>
      <c r="E19" s="116"/>
      <c r="F19" s="189"/>
      <c r="G19" s="189"/>
      <c r="H19" s="190"/>
      <c r="I19" s="115"/>
      <c r="J19" s="115">
        <f t="shared" si="0"/>
        <v>0</v>
      </c>
      <c r="K19" s="112"/>
      <c r="L19" s="112"/>
      <c r="M19" s="112"/>
      <c r="N19" s="112"/>
      <c r="O19" s="113"/>
    </row>
    <row r="20" spans="2:15" ht="12.75" customHeight="1">
      <c r="B20" s="111"/>
      <c r="C20" s="107" t="s">
        <v>139</v>
      </c>
      <c r="D20" s="107"/>
      <c r="E20" s="114"/>
      <c r="F20" s="1344">
        <f>O82</f>
        <v>5.255</v>
      </c>
      <c r="G20" s="1344"/>
      <c r="H20" s="1344"/>
      <c r="I20" s="115">
        <v>30</v>
      </c>
      <c r="J20" s="115">
        <f t="shared" si="0"/>
        <v>157.65</v>
      </c>
      <c r="K20" s="1345">
        <f>J20/$J$34*100</f>
        <v>14.263960630925787</v>
      </c>
      <c r="L20" s="1345"/>
      <c r="M20" s="107" t="s">
        <v>134</v>
      </c>
      <c r="N20" s="112"/>
      <c r="O20" s="113"/>
    </row>
    <row r="21" spans="2:15" ht="1.5" customHeight="1">
      <c r="B21" s="111"/>
      <c r="C21" s="112"/>
      <c r="D21" s="112"/>
      <c r="E21" s="116"/>
      <c r="F21" s="189"/>
      <c r="G21" s="189"/>
      <c r="H21" s="190"/>
      <c r="I21" s="115"/>
      <c r="J21" s="115">
        <f t="shared" si="0"/>
        <v>0</v>
      </c>
      <c r="K21" s="112"/>
      <c r="L21" s="112"/>
      <c r="M21" s="112"/>
      <c r="N21" s="112"/>
      <c r="O21" s="113"/>
    </row>
    <row r="22" spans="2:15" ht="12.75" customHeight="1">
      <c r="B22" s="111"/>
      <c r="C22" s="107" t="s">
        <v>140</v>
      </c>
      <c r="D22" s="107"/>
      <c r="E22" s="114"/>
      <c r="F22" s="1344">
        <f>Q82</f>
        <v>5.375</v>
      </c>
      <c r="G22" s="1344"/>
      <c r="H22" s="1344"/>
      <c r="I22" s="115">
        <v>31</v>
      </c>
      <c r="J22" s="115">
        <f t="shared" si="0"/>
        <v>166.625</v>
      </c>
      <c r="K22" s="1345">
        <f>J22/$J$34*100</f>
        <v>15.076006597703834</v>
      </c>
      <c r="L22" s="1345"/>
      <c r="M22" s="107" t="s">
        <v>134</v>
      </c>
      <c r="N22" s="112"/>
      <c r="O22" s="113"/>
    </row>
    <row r="23" spans="2:15" ht="1.5" customHeight="1">
      <c r="B23" s="111"/>
      <c r="C23" s="112"/>
      <c r="D23" s="112"/>
      <c r="E23" s="116"/>
      <c r="F23" s="189"/>
      <c r="G23" s="189"/>
      <c r="H23" s="190"/>
      <c r="I23" s="115"/>
      <c r="J23" s="115">
        <f t="shared" si="0"/>
        <v>0</v>
      </c>
      <c r="K23" s="112"/>
      <c r="L23" s="112"/>
      <c r="M23" s="112"/>
      <c r="N23" s="112"/>
      <c r="O23" s="113"/>
    </row>
    <row r="24" spans="2:15" ht="12.75" customHeight="1">
      <c r="B24" s="111"/>
      <c r="C24" s="107" t="s">
        <v>141</v>
      </c>
      <c r="D24" s="107"/>
      <c r="E24" s="114"/>
      <c r="F24" s="1344">
        <f>S82</f>
        <v>4.688</v>
      </c>
      <c r="G24" s="1344"/>
      <c r="H24" s="1344"/>
      <c r="I24" s="115">
        <v>31</v>
      </c>
      <c r="J24" s="115">
        <f t="shared" si="0"/>
        <v>145.328</v>
      </c>
      <c r="K24" s="1345">
        <f>J24/$J$34*100</f>
        <v>13.149082591634526</v>
      </c>
      <c r="L24" s="1345"/>
      <c r="M24" s="107" t="s">
        <v>134</v>
      </c>
      <c r="N24" s="112"/>
      <c r="O24" s="113"/>
    </row>
    <row r="25" spans="2:15" ht="1.5" customHeight="1">
      <c r="B25" s="111"/>
      <c r="C25" s="112"/>
      <c r="D25" s="112"/>
      <c r="E25" s="112"/>
      <c r="F25" s="190"/>
      <c r="G25" s="190"/>
      <c r="H25" s="190"/>
      <c r="I25" s="115"/>
      <c r="J25" s="115">
        <f t="shared" si="0"/>
        <v>0</v>
      </c>
      <c r="K25" s="112"/>
      <c r="L25" s="112"/>
      <c r="M25" s="112"/>
      <c r="N25" s="112"/>
      <c r="O25" s="113"/>
    </row>
    <row r="26" spans="2:15" ht="12.75" customHeight="1">
      <c r="B26" s="111"/>
      <c r="C26" s="107" t="s">
        <v>142</v>
      </c>
      <c r="D26" s="107"/>
      <c r="E26" s="114"/>
      <c r="F26" s="1344">
        <f>U82</f>
        <v>3.286</v>
      </c>
      <c r="G26" s="1344"/>
      <c r="H26" s="1344"/>
      <c r="I26" s="115">
        <v>30</v>
      </c>
      <c r="J26" s="115">
        <f t="shared" si="0"/>
        <v>98.58</v>
      </c>
      <c r="K26" s="1345">
        <f>J26/$J$34*100</f>
        <v>8.919386228967104</v>
      </c>
      <c r="L26" s="1345"/>
      <c r="M26" s="107" t="s">
        <v>134</v>
      </c>
      <c r="N26" s="112"/>
      <c r="O26" s="113"/>
    </row>
    <row r="27" spans="2:15" ht="1.5" customHeight="1">
      <c r="B27" s="111"/>
      <c r="C27" s="112"/>
      <c r="D27" s="112"/>
      <c r="E27" s="112"/>
      <c r="F27" s="189"/>
      <c r="G27" s="189"/>
      <c r="H27" s="190"/>
      <c r="I27" s="115"/>
      <c r="J27" s="115">
        <f t="shared" si="0"/>
        <v>0</v>
      </c>
      <c r="K27" s="112"/>
      <c r="L27" s="112"/>
      <c r="M27" s="112"/>
      <c r="N27" s="112"/>
      <c r="O27" s="113"/>
    </row>
    <row r="28" spans="2:15" ht="12.75" customHeight="1">
      <c r="B28" s="111"/>
      <c r="C28" s="107" t="s">
        <v>143</v>
      </c>
      <c r="D28" s="107"/>
      <c r="E28" s="114"/>
      <c r="F28" s="1344">
        <f>W82</f>
        <v>1.908</v>
      </c>
      <c r="G28" s="1344"/>
      <c r="H28" s="1344"/>
      <c r="I28" s="115">
        <v>31</v>
      </c>
      <c r="J28" s="115">
        <f t="shared" si="0"/>
        <v>59.147999999999996</v>
      </c>
      <c r="K28" s="1345">
        <f>J28/$J$34*100</f>
        <v>5.351631737380263</v>
      </c>
      <c r="L28" s="1345"/>
      <c r="M28" s="107" t="s">
        <v>134</v>
      </c>
      <c r="N28" s="112"/>
      <c r="O28" s="113"/>
    </row>
    <row r="29" spans="2:15" ht="1.5" customHeight="1">
      <c r="B29" s="111"/>
      <c r="C29" s="112"/>
      <c r="D29" s="112"/>
      <c r="E29" s="112"/>
      <c r="F29" s="190"/>
      <c r="G29" s="190"/>
      <c r="H29" s="190"/>
      <c r="I29" s="115"/>
      <c r="J29" s="115">
        <f t="shared" si="0"/>
        <v>0</v>
      </c>
      <c r="K29" s="112"/>
      <c r="L29" s="112"/>
      <c r="M29" s="112"/>
      <c r="N29" s="112"/>
      <c r="O29" s="113"/>
    </row>
    <row r="30" spans="2:15" ht="12.75" customHeight="1">
      <c r="B30" s="111"/>
      <c r="C30" s="107" t="s">
        <v>144</v>
      </c>
      <c r="D30" s="107"/>
      <c r="E30" s="114"/>
      <c r="F30" s="1344">
        <f>Y82</f>
        <v>1.074</v>
      </c>
      <c r="G30" s="1344"/>
      <c r="H30" s="1344"/>
      <c r="I30" s="115">
        <v>30</v>
      </c>
      <c r="J30" s="115">
        <f t="shared" si="0"/>
        <v>32.22</v>
      </c>
      <c r="K30" s="1345">
        <f>J30/$J$34*100</f>
        <v>2.9152224010683723</v>
      </c>
      <c r="L30" s="1345"/>
      <c r="M30" s="107" t="s">
        <v>134</v>
      </c>
      <c r="N30" s="112"/>
      <c r="O30" s="113"/>
    </row>
    <row r="31" spans="2:15" ht="1.5" customHeight="1">
      <c r="B31" s="111"/>
      <c r="C31" s="112"/>
      <c r="D31" s="112"/>
      <c r="E31" s="112"/>
      <c r="F31" s="189"/>
      <c r="G31" s="189"/>
      <c r="H31" s="190"/>
      <c r="I31" s="115"/>
      <c r="J31" s="115">
        <f t="shared" si="0"/>
        <v>0</v>
      </c>
      <c r="K31" s="112"/>
      <c r="L31" s="112"/>
      <c r="M31" s="112"/>
      <c r="N31" s="112"/>
      <c r="O31" s="113"/>
    </row>
    <row r="32" spans="2:15" ht="12.75" customHeight="1" thickBot="1">
      <c r="B32" s="117"/>
      <c r="C32" s="118" t="s">
        <v>145</v>
      </c>
      <c r="D32" s="118"/>
      <c r="E32" s="119"/>
      <c r="F32" s="1350">
        <f>AA82</f>
        <v>0.694</v>
      </c>
      <c r="G32" s="1350"/>
      <c r="H32" s="1350"/>
      <c r="I32" s="120">
        <v>31</v>
      </c>
      <c r="J32" s="120">
        <f t="shared" si="0"/>
        <v>21.514</v>
      </c>
      <c r="K32" s="1347">
        <f>J32/$J$34*100</f>
        <v>1.9465578751267834</v>
      </c>
      <c r="L32" s="1347"/>
      <c r="M32" s="118" t="s">
        <v>134</v>
      </c>
      <c r="N32" s="121"/>
      <c r="O32" s="122"/>
    </row>
    <row r="33" spans="2:15" ht="1.5" customHeight="1">
      <c r="B33" s="111"/>
      <c r="C33" s="112"/>
      <c r="D33" s="112"/>
      <c r="E33" s="112"/>
      <c r="F33" s="112"/>
      <c r="G33" s="112"/>
      <c r="H33" s="112"/>
      <c r="I33" s="112"/>
      <c r="J33" s="112"/>
      <c r="K33" s="112"/>
      <c r="L33" s="112"/>
      <c r="M33" s="112"/>
      <c r="N33" s="112"/>
      <c r="O33" s="113"/>
    </row>
    <row r="34" spans="2:15" s="123" customFormat="1" ht="12.75" customHeight="1">
      <c r="B34" s="164"/>
      <c r="C34" s="124"/>
      <c r="D34" s="124"/>
      <c r="E34" s="124"/>
      <c r="F34" s="1343"/>
      <c r="G34" s="1343"/>
      <c r="H34" s="1343"/>
      <c r="I34" s="124"/>
      <c r="J34" s="125">
        <f>SUM(J10:J33)</f>
        <v>1105.233</v>
      </c>
      <c r="K34" s="124"/>
      <c r="L34" s="124"/>
      <c r="M34" s="124"/>
      <c r="N34" s="124"/>
      <c r="O34" s="126"/>
    </row>
    <row r="35" spans="2:15" s="123" customFormat="1" ht="12.75" customHeight="1">
      <c r="B35" s="164" t="s">
        <v>3</v>
      </c>
      <c r="C35" s="124" t="s">
        <v>2</v>
      </c>
      <c r="D35" s="124"/>
      <c r="E35" s="124"/>
      <c r="F35" s="1343">
        <f>AC82</f>
        <v>1105.233</v>
      </c>
      <c r="G35" s="1343"/>
      <c r="H35" s="1343"/>
      <c r="I35" s="124"/>
      <c r="J35" s="124"/>
      <c r="K35" s="1348">
        <f>SUM(K10:L32)</f>
        <v>100</v>
      </c>
      <c r="L35" s="1349"/>
      <c r="M35" s="124" t="s">
        <v>134</v>
      </c>
      <c r="N35" s="124"/>
      <c r="O35" s="126"/>
    </row>
    <row r="36" spans="2:15" ht="1.5" customHeight="1">
      <c r="B36" s="127"/>
      <c r="C36" s="128"/>
      <c r="D36" s="128"/>
      <c r="E36" s="128"/>
      <c r="F36" s="128"/>
      <c r="G36" s="128"/>
      <c r="H36" s="128"/>
      <c r="I36" s="128"/>
      <c r="J36" s="128"/>
      <c r="K36" s="128"/>
      <c r="L36" s="128"/>
      <c r="M36" s="128"/>
      <c r="N36" s="128"/>
      <c r="O36" s="129"/>
    </row>
    <row r="37" spans="2:15" ht="12.75">
      <c r="B37" s="130" t="s">
        <v>146</v>
      </c>
      <c r="C37" s="128"/>
      <c r="D37" s="128"/>
      <c r="E37" s="128"/>
      <c r="F37" s="128"/>
      <c r="G37" s="128"/>
      <c r="H37" s="128"/>
      <c r="I37" s="128"/>
      <c r="J37" s="128"/>
      <c r="K37" s="128"/>
      <c r="L37" s="128"/>
      <c r="M37" s="128"/>
      <c r="N37" s="128"/>
      <c r="O37" s="129"/>
    </row>
    <row r="38" spans="2:15" ht="1.5" customHeight="1">
      <c r="B38" s="131"/>
      <c r="C38" s="132"/>
      <c r="D38" s="132"/>
      <c r="E38" s="132"/>
      <c r="F38" s="132"/>
      <c r="G38" s="132"/>
      <c r="H38" s="132"/>
      <c r="I38" s="132"/>
      <c r="J38" s="132"/>
      <c r="K38" s="132"/>
      <c r="L38" s="132"/>
      <c r="M38" s="132"/>
      <c r="N38" s="132"/>
      <c r="O38" s="133"/>
    </row>
    <row r="39" ht="12.75" customHeight="1" thickBot="1"/>
    <row r="40" spans="1:31" ht="12.75" customHeight="1">
      <c r="A40" s="135"/>
      <c r="B40" s="136" t="s">
        <v>147</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8" t="s">
        <v>146</v>
      </c>
      <c r="AE40" s="139"/>
    </row>
    <row r="41" spans="1:31" ht="6" customHeight="1">
      <c r="A41" s="140"/>
      <c r="B41" s="141"/>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42"/>
    </row>
    <row r="42" spans="1:31" ht="12.75" customHeight="1">
      <c r="A42" s="140"/>
      <c r="B42" s="141" t="s">
        <v>148</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42"/>
    </row>
    <row r="43" spans="1:31" ht="12.75" customHeight="1">
      <c r="A43" s="140"/>
      <c r="B43" s="141" t="s">
        <v>149</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42"/>
    </row>
    <row r="44" spans="1:31" s="123" customFormat="1" ht="12.75" customHeight="1">
      <c r="A44" s="143"/>
      <c r="B44" s="144" t="s">
        <v>150</v>
      </c>
      <c r="C44" s="145"/>
      <c r="D44" s="145"/>
      <c r="E44" s="1340" t="s">
        <v>133</v>
      </c>
      <c r="F44" s="1340"/>
      <c r="G44" s="1340" t="s">
        <v>135</v>
      </c>
      <c r="H44" s="1340"/>
      <c r="I44" s="1340" t="s">
        <v>151</v>
      </c>
      <c r="J44" s="1340"/>
      <c r="K44" s="1340" t="s">
        <v>137</v>
      </c>
      <c r="L44" s="1340"/>
      <c r="M44" s="1340" t="s">
        <v>138</v>
      </c>
      <c r="N44" s="1340"/>
      <c r="O44" s="1340" t="s">
        <v>139</v>
      </c>
      <c r="P44" s="1340"/>
      <c r="Q44" s="1340" t="s">
        <v>140</v>
      </c>
      <c r="R44" s="1340"/>
      <c r="S44" s="1340" t="s">
        <v>141</v>
      </c>
      <c r="T44" s="1340"/>
      <c r="U44" s="1340" t="s">
        <v>142</v>
      </c>
      <c r="V44" s="1340"/>
      <c r="W44" s="1340" t="s">
        <v>143</v>
      </c>
      <c r="X44" s="1340"/>
      <c r="Y44" s="1340" t="s">
        <v>144</v>
      </c>
      <c r="Z44" s="1340"/>
      <c r="AA44" s="1340" t="s">
        <v>145</v>
      </c>
      <c r="AB44" s="1340"/>
      <c r="AC44" s="1340" t="s">
        <v>152</v>
      </c>
      <c r="AD44" s="1340"/>
      <c r="AE44" s="147"/>
    </row>
    <row r="45" spans="1:31" s="123" customFormat="1" ht="12.75" customHeight="1">
      <c r="A45" s="143"/>
      <c r="B45" s="144"/>
      <c r="C45" s="145"/>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341" t="s">
        <v>153</v>
      </c>
      <c r="AD45" s="1341"/>
      <c r="AE45" s="147"/>
    </row>
    <row r="46" spans="1:31" ht="11.25" customHeight="1">
      <c r="A46" s="140"/>
      <c r="B46" s="141" t="s">
        <v>154</v>
      </c>
      <c r="C46" s="128"/>
      <c r="D46" s="128"/>
      <c r="E46" s="1337">
        <v>0.604</v>
      </c>
      <c r="F46" s="1337"/>
      <c r="G46" s="1337">
        <v>1.256</v>
      </c>
      <c r="H46" s="1337"/>
      <c r="I46" s="1337">
        <v>2.195</v>
      </c>
      <c r="J46" s="1337"/>
      <c r="K46" s="1337">
        <v>3.758</v>
      </c>
      <c r="L46" s="1337"/>
      <c r="M46" s="1337">
        <v>4.91</v>
      </c>
      <c r="N46" s="1337"/>
      <c r="O46" s="1337">
        <v>4.992</v>
      </c>
      <c r="P46" s="1337"/>
      <c r="Q46" s="1337">
        <v>5.152</v>
      </c>
      <c r="R46" s="1337"/>
      <c r="S46" s="1337">
        <v>4.336</v>
      </c>
      <c r="T46" s="1337"/>
      <c r="U46" s="1337">
        <v>2.852</v>
      </c>
      <c r="V46" s="1337"/>
      <c r="W46" s="1337">
        <v>1.816</v>
      </c>
      <c r="X46" s="1337"/>
      <c r="Y46" s="1337">
        <v>0.788</v>
      </c>
      <c r="Z46" s="1337"/>
      <c r="AA46" s="1337">
        <v>0.442</v>
      </c>
      <c r="AB46" s="1337"/>
      <c r="AC46" s="1339">
        <f aca="true" t="shared" si="1" ref="AC46:AC57">E46*31+G46*28+I46*31+K46*30+M46*31+O46*30+Q46*31+S46*31+U46*30+W46*31+Y46*30+AA46*31</f>
        <v>1009.9729999999998</v>
      </c>
      <c r="AD46" s="1339"/>
      <c r="AE46" s="142"/>
    </row>
    <row r="47" spans="1:31" ht="11.25" customHeight="1">
      <c r="A47" s="140"/>
      <c r="B47" s="141" t="s">
        <v>156</v>
      </c>
      <c r="C47" s="128"/>
      <c r="D47" s="128"/>
      <c r="E47" s="1337">
        <v>0.653</v>
      </c>
      <c r="F47" s="1337"/>
      <c r="G47" s="1337">
        <v>1.312</v>
      </c>
      <c r="H47" s="1337"/>
      <c r="I47" s="1337">
        <v>2.18</v>
      </c>
      <c r="J47" s="1337"/>
      <c r="K47" s="1337">
        <v>3.619</v>
      </c>
      <c r="L47" s="1337"/>
      <c r="M47" s="1337">
        <v>4.661</v>
      </c>
      <c r="N47" s="1337"/>
      <c r="O47" s="1337">
        <v>4.779</v>
      </c>
      <c r="P47" s="1337"/>
      <c r="Q47" s="1337">
        <v>4.814</v>
      </c>
      <c r="R47" s="1337"/>
      <c r="S47" s="1337">
        <v>4.1</v>
      </c>
      <c r="T47" s="1337"/>
      <c r="U47" s="1337">
        <v>2.674</v>
      </c>
      <c r="V47" s="1337"/>
      <c r="W47" s="1337">
        <v>1.648</v>
      </c>
      <c r="X47" s="1337"/>
      <c r="Y47" s="1337">
        <v>0.819</v>
      </c>
      <c r="Z47" s="1337"/>
      <c r="AA47" s="1337">
        <v>0.476</v>
      </c>
      <c r="AB47" s="1337"/>
      <c r="AC47" s="1339">
        <f t="shared" si="1"/>
        <v>967.9580000000001</v>
      </c>
      <c r="AD47" s="1339"/>
      <c r="AE47" s="142"/>
    </row>
    <row r="48" spans="1:31" ht="11.25" customHeight="1">
      <c r="A48" s="140"/>
      <c r="B48" s="141" t="s">
        <v>157</v>
      </c>
      <c r="C48" s="128"/>
      <c r="D48" s="128"/>
      <c r="E48" s="1337">
        <v>0.789</v>
      </c>
      <c r="F48" s="1337"/>
      <c r="G48" s="1337">
        <v>1.466</v>
      </c>
      <c r="H48" s="1337"/>
      <c r="I48" s="1337">
        <v>2.373</v>
      </c>
      <c r="J48" s="1337"/>
      <c r="K48" s="1337">
        <v>3.729</v>
      </c>
      <c r="L48" s="1337"/>
      <c r="M48" s="1337">
        <v>4.932</v>
      </c>
      <c r="N48" s="1337"/>
      <c r="O48" s="1337">
        <v>5.003</v>
      </c>
      <c r="P48" s="1337"/>
      <c r="Q48" s="1337">
        <v>5.034</v>
      </c>
      <c r="R48" s="1337"/>
      <c r="S48" s="1337">
        <v>4.436</v>
      </c>
      <c r="T48" s="1337"/>
      <c r="U48" s="1337">
        <v>2.94</v>
      </c>
      <c r="V48" s="1337"/>
      <c r="W48" s="1337">
        <v>1.84</v>
      </c>
      <c r="X48" s="1337"/>
      <c r="Y48" s="1337">
        <v>0.873</v>
      </c>
      <c r="Z48" s="1337"/>
      <c r="AA48" s="1337">
        <v>0.602</v>
      </c>
      <c r="AB48" s="1337"/>
      <c r="AC48" s="1339">
        <f t="shared" si="1"/>
        <v>1037.584</v>
      </c>
      <c r="AD48" s="1339"/>
      <c r="AE48" s="142"/>
    </row>
    <row r="49" spans="1:31" ht="11.25" customHeight="1">
      <c r="A49" s="140"/>
      <c r="B49" s="141" t="s">
        <v>158</v>
      </c>
      <c r="C49" s="128"/>
      <c r="D49" s="128"/>
      <c r="E49" s="1337">
        <v>0.69</v>
      </c>
      <c r="F49" s="1337"/>
      <c r="G49" s="1337">
        <v>1.448</v>
      </c>
      <c r="H49" s="1337"/>
      <c r="I49" s="1337">
        <v>2.356</v>
      </c>
      <c r="J49" s="1337"/>
      <c r="K49" s="1337">
        <v>3.888</v>
      </c>
      <c r="L49" s="1337"/>
      <c r="M49" s="1337">
        <v>4.938</v>
      </c>
      <c r="N49" s="1337"/>
      <c r="O49" s="1337">
        <v>5.319</v>
      </c>
      <c r="P49" s="1337"/>
      <c r="Q49" s="1337">
        <v>5.225</v>
      </c>
      <c r="R49" s="1337"/>
      <c r="S49" s="1337">
        <v>4.537</v>
      </c>
      <c r="T49" s="1337"/>
      <c r="U49" s="1337">
        <v>2.975</v>
      </c>
      <c r="V49" s="1337"/>
      <c r="W49" s="1337">
        <v>1.663</v>
      </c>
      <c r="X49" s="1337"/>
      <c r="Y49" s="1337">
        <v>0.803</v>
      </c>
      <c r="Z49" s="1337"/>
      <c r="AA49" s="1337">
        <v>0.536</v>
      </c>
      <c r="AB49" s="1337"/>
      <c r="AC49" s="1339">
        <f t="shared" si="1"/>
        <v>1048.3890000000001</v>
      </c>
      <c r="AD49" s="1339"/>
      <c r="AE49" s="142"/>
    </row>
    <row r="50" spans="1:31" ht="11.25" customHeight="1">
      <c r="A50" s="140"/>
      <c r="B50" s="141" t="s">
        <v>164</v>
      </c>
      <c r="C50" s="128"/>
      <c r="D50" s="128"/>
      <c r="E50" s="1337">
        <v>0.879</v>
      </c>
      <c r="F50" s="1337"/>
      <c r="G50" s="1337">
        <v>1.607</v>
      </c>
      <c r="H50" s="1337"/>
      <c r="I50" s="1337">
        <v>2.661</v>
      </c>
      <c r="J50" s="1337"/>
      <c r="K50" s="1337">
        <v>3.9</v>
      </c>
      <c r="L50" s="1337"/>
      <c r="M50" s="1337">
        <v>4.888</v>
      </c>
      <c r="N50" s="1337"/>
      <c r="O50" s="1337">
        <v>5.498</v>
      </c>
      <c r="P50" s="1337"/>
      <c r="Q50" s="1337">
        <v>5.572</v>
      </c>
      <c r="R50" s="1337"/>
      <c r="S50" s="1337">
        <v>4.891</v>
      </c>
      <c r="T50" s="1337"/>
      <c r="U50" s="1337">
        <v>3.404</v>
      </c>
      <c r="V50" s="1337"/>
      <c r="W50" s="1337">
        <v>1.97</v>
      </c>
      <c r="X50" s="1337"/>
      <c r="Y50" s="1337">
        <v>1.063</v>
      </c>
      <c r="Z50" s="1337"/>
      <c r="AA50" s="1337">
        <v>0.693</v>
      </c>
      <c r="AB50" s="1337"/>
      <c r="AC50" s="1339">
        <f t="shared" si="1"/>
        <v>1129.12</v>
      </c>
      <c r="AD50" s="1339"/>
      <c r="AE50" s="142"/>
    </row>
    <row r="51" spans="1:31" ht="11.25" customHeight="1">
      <c r="A51" s="140"/>
      <c r="B51" s="141" t="s">
        <v>155</v>
      </c>
      <c r="C51" s="128"/>
      <c r="D51" s="128"/>
      <c r="E51" s="1337">
        <v>0.538</v>
      </c>
      <c r="F51" s="1337"/>
      <c r="G51" s="1337">
        <v>1.101</v>
      </c>
      <c r="H51" s="1337"/>
      <c r="I51" s="1337">
        <v>2.019</v>
      </c>
      <c r="J51" s="1337"/>
      <c r="K51" s="1337">
        <v>3.544</v>
      </c>
      <c r="L51" s="1337"/>
      <c r="M51" s="1337">
        <v>4.827</v>
      </c>
      <c r="N51" s="1337"/>
      <c r="O51" s="1337">
        <v>4.756</v>
      </c>
      <c r="P51" s="1337"/>
      <c r="Q51" s="1337">
        <v>4.85</v>
      </c>
      <c r="R51" s="1337"/>
      <c r="S51" s="1337">
        <v>4.112</v>
      </c>
      <c r="T51" s="1337"/>
      <c r="U51" s="1337">
        <v>2.646</v>
      </c>
      <c r="V51" s="1337"/>
      <c r="W51" s="1337">
        <v>1.531</v>
      </c>
      <c r="X51" s="1337"/>
      <c r="Y51" s="1337">
        <v>0.681</v>
      </c>
      <c r="Z51" s="1337"/>
      <c r="AA51" s="1337">
        <v>0.378</v>
      </c>
      <c r="AB51" s="1337"/>
      <c r="AC51" s="1339">
        <f t="shared" si="1"/>
        <v>945.5429999999999</v>
      </c>
      <c r="AD51" s="1339"/>
      <c r="AE51" s="142"/>
    </row>
    <row r="52" spans="1:31" ht="11.25" customHeight="1">
      <c r="A52" s="140"/>
      <c r="B52" s="141" t="s">
        <v>161</v>
      </c>
      <c r="C52" s="128"/>
      <c r="D52" s="128"/>
      <c r="E52" s="1338">
        <v>0.757</v>
      </c>
      <c r="F52" s="1338"/>
      <c r="G52" s="1337">
        <v>1.491</v>
      </c>
      <c r="H52" s="1337"/>
      <c r="I52" s="1337">
        <v>2.435</v>
      </c>
      <c r="J52" s="1337"/>
      <c r="K52" s="1337">
        <v>3.913</v>
      </c>
      <c r="L52" s="1337"/>
      <c r="M52" s="1337">
        <v>4.968</v>
      </c>
      <c r="N52" s="1337"/>
      <c r="O52" s="1337">
        <v>5.226</v>
      </c>
      <c r="P52" s="1337"/>
      <c r="Q52" s="1337">
        <v>5.234</v>
      </c>
      <c r="R52" s="1337"/>
      <c r="S52" s="1337">
        <v>4.552</v>
      </c>
      <c r="T52" s="1337"/>
      <c r="U52" s="1337">
        <v>3.14</v>
      </c>
      <c r="V52" s="1337"/>
      <c r="W52" s="1337">
        <v>1.756</v>
      </c>
      <c r="X52" s="1337"/>
      <c r="Y52" s="1337">
        <v>0.909</v>
      </c>
      <c r="Z52" s="1337"/>
      <c r="AA52" s="1337">
        <v>0.566</v>
      </c>
      <c r="AB52" s="1337"/>
      <c r="AC52" s="1339">
        <f t="shared" si="1"/>
        <v>1065.6960000000001</v>
      </c>
      <c r="AD52" s="1339"/>
      <c r="AE52" s="142"/>
    </row>
    <row r="53" spans="1:31" ht="11.25" customHeight="1">
      <c r="A53" s="140"/>
      <c r="B53" s="141" t="s">
        <v>160</v>
      </c>
      <c r="C53" s="128"/>
      <c r="D53" s="128"/>
      <c r="E53" s="1337">
        <v>1.087</v>
      </c>
      <c r="F53" s="1337"/>
      <c r="G53" s="1337">
        <v>1.873</v>
      </c>
      <c r="H53" s="1337"/>
      <c r="I53" s="1337">
        <v>2.833</v>
      </c>
      <c r="J53" s="1337"/>
      <c r="K53" s="1337">
        <v>3.958</v>
      </c>
      <c r="L53" s="1337"/>
      <c r="M53" s="1337">
        <v>5.098</v>
      </c>
      <c r="N53" s="1337"/>
      <c r="O53" s="1337">
        <v>5.346</v>
      </c>
      <c r="P53" s="1337"/>
      <c r="Q53" s="1337">
        <v>5.425</v>
      </c>
      <c r="R53" s="1337"/>
      <c r="S53" s="1337">
        <v>4.722</v>
      </c>
      <c r="T53" s="1337"/>
      <c r="U53" s="1337">
        <v>3.397</v>
      </c>
      <c r="V53" s="1337"/>
      <c r="W53" s="1337">
        <v>2.026</v>
      </c>
      <c r="X53" s="1337"/>
      <c r="Y53" s="1337">
        <v>1.151</v>
      </c>
      <c r="Z53" s="1337"/>
      <c r="AA53" s="1337">
        <v>0.797</v>
      </c>
      <c r="AB53" s="1337"/>
      <c r="AC53" s="1339">
        <f t="shared" si="1"/>
        <v>1149.632</v>
      </c>
      <c r="AD53" s="1339"/>
      <c r="AE53" s="142"/>
    </row>
    <row r="54" spans="1:31" ht="11.25" customHeight="1">
      <c r="A54" s="140"/>
      <c r="B54" s="141" t="s">
        <v>163</v>
      </c>
      <c r="C54" s="128"/>
      <c r="D54" s="128"/>
      <c r="E54" s="1337">
        <v>0.911</v>
      </c>
      <c r="F54" s="1337"/>
      <c r="G54" s="1337">
        <v>1.667</v>
      </c>
      <c r="H54" s="1337"/>
      <c r="I54" s="1337">
        <v>2.776</v>
      </c>
      <c r="J54" s="1337"/>
      <c r="K54" s="1337">
        <v>4.068</v>
      </c>
      <c r="L54" s="1337"/>
      <c r="M54" s="1337">
        <v>5.174</v>
      </c>
      <c r="N54" s="1337"/>
      <c r="O54" s="1337">
        <v>5.531</v>
      </c>
      <c r="P54" s="1337"/>
      <c r="Q54" s="1337">
        <v>5.551</v>
      </c>
      <c r="R54" s="1337"/>
      <c r="S54" s="1337">
        <v>4.815</v>
      </c>
      <c r="T54" s="1337"/>
      <c r="U54" s="1337">
        <v>3.353</v>
      </c>
      <c r="V54" s="1337"/>
      <c r="W54" s="1337">
        <v>1.888</v>
      </c>
      <c r="X54" s="1337"/>
      <c r="Y54" s="1337">
        <v>1.037</v>
      </c>
      <c r="Z54" s="1337"/>
      <c r="AA54" s="1337">
        <v>0.74</v>
      </c>
      <c r="AB54" s="1337"/>
      <c r="AC54" s="1339">
        <f t="shared" si="1"/>
        <v>1143.8509999999999</v>
      </c>
      <c r="AD54" s="1339"/>
      <c r="AE54" s="142"/>
    </row>
    <row r="55" spans="1:31" ht="11.25" customHeight="1">
      <c r="A55" s="140"/>
      <c r="B55" s="141" t="s">
        <v>162</v>
      </c>
      <c r="C55" s="128"/>
      <c r="D55" s="128"/>
      <c r="E55" s="1337">
        <v>0.913</v>
      </c>
      <c r="F55" s="1337"/>
      <c r="G55" s="1337">
        <v>1.644</v>
      </c>
      <c r="H55" s="1337"/>
      <c r="I55" s="1337">
        <v>2.568</v>
      </c>
      <c r="J55" s="1337"/>
      <c r="K55" s="1337">
        <v>3.908</v>
      </c>
      <c r="L55" s="1337"/>
      <c r="M55" s="1337">
        <v>4.935</v>
      </c>
      <c r="N55" s="1337"/>
      <c r="O55" s="1337">
        <v>5.255</v>
      </c>
      <c r="P55" s="1337"/>
      <c r="Q55" s="1337">
        <v>5.375</v>
      </c>
      <c r="R55" s="1337"/>
      <c r="S55" s="1337">
        <v>4.688</v>
      </c>
      <c r="T55" s="1337"/>
      <c r="U55" s="1337">
        <v>3.286</v>
      </c>
      <c r="V55" s="1337"/>
      <c r="W55" s="1337">
        <v>1.908</v>
      </c>
      <c r="X55" s="1337"/>
      <c r="Y55" s="1337">
        <v>1.074</v>
      </c>
      <c r="Z55" s="1337"/>
      <c r="AA55" s="1337">
        <v>0.694</v>
      </c>
      <c r="AB55" s="1337"/>
      <c r="AC55" s="1339">
        <f t="shared" si="1"/>
        <v>1105.233</v>
      </c>
      <c r="AD55" s="1339"/>
      <c r="AE55" s="142"/>
    </row>
    <row r="56" spans="1:31" ht="11.25" customHeight="1">
      <c r="A56" s="140"/>
      <c r="B56" s="141" t="s">
        <v>1</v>
      </c>
      <c r="C56" s="128"/>
      <c r="D56" s="128"/>
      <c r="E56" s="1337">
        <v>0.979</v>
      </c>
      <c r="F56" s="1337"/>
      <c r="G56" s="1337">
        <v>1.718</v>
      </c>
      <c r="H56" s="1337"/>
      <c r="I56" s="1337">
        <v>2.738</v>
      </c>
      <c r="J56" s="1337"/>
      <c r="K56" s="1337">
        <v>3.962</v>
      </c>
      <c r="L56" s="1337"/>
      <c r="M56" s="1337">
        <v>5.017</v>
      </c>
      <c r="N56" s="1337"/>
      <c r="O56" s="1337">
        <v>5.296</v>
      </c>
      <c r="P56" s="1337"/>
      <c r="Q56" s="1337">
        <v>5.418</v>
      </c>
      <c r="R56" s="1337"/>
      <c r="S56" s="1337">
        <v>4.705</v>
      </c>
      <c r="T56" s="1337"/>
      <c r="U56" s="1337">
        <v>3.328</v>
      </c>
      <c r="V56" s="1337"/>
      <c r="W56" s="1337">
        <v>1.894</v>
      </c>
      <c r="X56" s="1337"/>
      <c r="Y56" s="1337">
        <v>1.079</v>
      </c>
      <c r="Z56" s="1337"/>
      <c r="AA56" s="1337">
        <v>0.742</v>
      </c>
      <c r="AB56" s="1337"/>
      <c r="AC56" s="1339">
        <f t="shared" si="1"/>
        <v>1124.337</v>
      </c>
      <c r="AD56" s="1339"/>
      <c r="AE56" s="142"/>
    </row>
    <row r="57" spans="1:31" ht="11.25" customHeight="1">
      <c r="A57" s="140"/>
      <c r="B57" s="141" t="s">
        <v>159</v>
      </c>
      <c r="C57" s="128"/>
      <c r="D57" s="128"/>
      <c r="E57" s="1337">
        <v>0.785</v>
      </c>
      <c r="F57" s="1337"/>
      <c r="G57" s="1337">
        <v>1.536</v>
      </c>
      <c r="H57" s="1337"/>
      <c r="I57" s="1337">
        <v>2.527</v>
      </c>
      <c r="J57" s="1337"/>
      <c r="K57" s="1337">
        <v>3.969</v>
      </c>
      <c r="L57" s="1337"/>
      <c r="M57" s="1337">
        <v>5.098</v>
      </c>
      <c r="N57" s="1337"/>
      <c r="O57" s="1337">
        <v>5.358</v>
      </c>
      <c r="P57" s="1337"/>
      <c r="Q57" s="1337">
        <v>5.381</v>
      </c>
      <c r="R57" s="1337"/>
      <c r="S57" s="1337">
        <v>4.664</v>
      </c>
      <c r="T57" s="1337"/>
      <c r="U57" s="1337">
        <v>3.215</v>
      </c>
      <c r="V57" s="1337"/>
      <c r="W57" s="1337">
        <v>1.825</v>
      </c>
      <c r="X57" s="1337"/>
      <c r="Y57" s="1337">
        <v>0.877</v>
      </c>
      <c r="Z57" s="1337"/>
      <c r="AA57" s="1337">
        <v>0.581</v>
      </c>
      <c r="AB57" s="1337"/>
      <c r="AC57" s="1339">
        <f t="shared" si="1"/>
        <v>1092.269</v>
      </c>
      <c r="AD57" s="1339"/>
      <c r="AE57" s="142"/>
    </row>
    <row r="58" spans="1:31" ht="12.75" customHeight="1">
      <c r="A58" s="140"/>
      <c r="B58" s="148" t="s">
        <v>165</v>
      </c>
      <c r="C58" s="149"/>
      <c r="D58" s="150"/>
      <c r="E58" s="128"/>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42"/>
    </row>
    <row r="59" spans="1:31" ht="12.75" customHeight="1">
      <c r="A59" s="140"/>
      <c r="B59" s="152" t="str">
        <f>B64</f>
        <v>Stuttgart</v>
      </c>
      <c r="C59" s="132"/>
      <c r="D59" s="133"/>
      <c r="E59" s="128"/>
      <c r="F59" s="1352">
        <f>IF(AC83=0,"","Achtung: Es wurden nicht alle Monatswerte für den selbst gewählten Standort erfasst !
In diesem Fall rechnet das Programm mit den Werten für 'Stuttgart' um Fehler zu verhindern. Bitte füllen ")</f>
      </c>
      <c r="G59" s="1352"/>
      <c r="H59" s="1352"/>
      <c r="I59" s="1352"/>
      <c r="J59" s="1352"/>
      <c r="K59" s="1352"/>
      <c r="L59" s="1352"/>
      <c r="M59" s="1352"/>
      <c r="N59" s="1352"/>
      <c r="O59" s="1352"/>
      <c r="P59" s="1352"/>
      <c r="Q59" s="1352"/>
      <c r="R59" s="1352"/>
      <c r="S59" s="1352"/>
      <c r="T59" s="1352"/>
      <c r="U59" s="1352"/>
      <c r="V59" s="1352"/>
      <c r="W59" s="1352"/>
      <c r="X59" s="1352"/>
      <c r="Y59" s="1352"/>
      <c r="Z59" s="1352"/>
      <c r="AA59" s="1352"/>
      <c r="AB59" s="1352"/>
      <c r="AC59" s="1352"/>
      <c r="AD59" s="1352"/>
      <c r="AE59" s="142"/>
    </row>
    <row r="60" spans="1:31" ht="12.75" customHeight="1">
      <c r="A60" s="140"/>
      <c r="B60" s="153"/>
      <c r="C60" s="128"/>
      <c r="D60" s="128"/>
      <c r="E60" s="151"/>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c r="AE60" s="142"/>
    </row>
    <row r="61" spans="1:31" ht="12.75" customHeight="1">
      <c r="A61" s="140"/>
      <c r="B61" s="153"/>
      <c r="C61" s="128"/>
      <c r="D61" s="128"/>
      <c r="E61" s="154"/>
      <c r="F61" s="1352">
        <f>IF(AC83=0,"","Sie alle Monatswerte für den selbst gewählten Standort aus, dann kann der selbst gewählte Standort aktiviert werden. Es fehlen die Werte für "&amp;E84&amp;" "&amp;G84&amp;" "&amp;I84&amp;" "&amp;K84&amp;" "&amp;M84&amp;" "&amp;O84&amp;" "&amp;Q84&amp;" "&amp;S84&amp;" "&amp;U84&amp;" "&amp;W84&amp;" "&amp;Y84&amp;" "&amp;AA84&amp;".")</f>
      </c>
      <c r="G61" s="1352"/>
      <c r="H61" s="1352"/>
      <c r="I61" s="1352"/>
      <c r="J61" s="1352"/>
      <c r="K61" s="1352"/>
      <c r="L61" s="1352"/>
      <c r="M61" s="1352"/>
      <c r="N61" s="1352"/>
      <c r="O61" s="1352"/>
      <c r="P61" s="1352"/>
      <c r="Q61" s="1352"/>
      <c r="R61" s="1352"/>
      <c r="S61" s="1352"/>
      <c r="T61" s="1352"/>
      <c r="U61" s="1352"/>
      <c r="V61" s="1352"/>
      <c r="W61" s="1352"/>
      <c r="X61" s="1352"/>
      <c r="Y61" s="1352"/>
      <c r="Z61" s="1352"/>
      <c r="AA61" s="1352"/>
      <c r="AB61" s="1352"/>
      <c r="AC61" s="1352"/>
      <c r="AD61" s="1352"/>
      <c r="AE61" s="142"/>
    </row>
    <row r="62" spans="1:31" ht="12.75" customHeight="1" thickBot="1">
      <c r="A62" s="155"/>
      <c r="B62" s="156"/>
      <c r="C62" s="157"/>
      <c r="D62" s="157"/>
      <c r="E62" s="158"/>
      <c r="F62" s="1353"/>
      <c r="G62" s="1353"/>
      <c r="H62" s="1353"/>
      <c r="I62" s="1353"/>
      <c r="J62" s="1353"/>
      <c r="K62" s="1353"/>
      <c r="L62" s="1353"/>
      <c r="M62" s="1353"/>
      <c r="N62" s="1353"/>
      <c r="O62" s="1353"/>
      <c r="P62" s="1353"/>
      <c r="Q62" s="1353"/>
      <c r="R62" s="1353"/>
      <c r="S62" s="1353"/>
      <c r="T62" s="1353"/>
      <c r="U62" s="1353"/>
      <c r="V62" s="1353"/>
      <c r="W62" s="1353"/>
      <c r="X62" s="1353"/>
      <c r="Y62" s="1353"/>
      <c r="Z62" s="1353"/>
      <c r="AA62" s="1353"/>
      <c r="AB62" s="1353"/>
      <c r="AC62" s="1353"/>
      <c r="AD62" s="1353"/>
      <c r="AE62" s="159"/>
    </row>
    <row r="63" ht="12.75" customHeight="1">
      <c r="AE63" s="160"/>
    </row>
    <row r="64" ht="12.75" customHeight="1" hidden="1">
      <c r="B64" s="163" t="str">
        <f>Kalkulation_Eigenstrom!P17</f>
        <v>Stuttgart</v>
      </c>
    </row>
    <row r="65" ht="12.75" customHeight="1"/>
    <row r="66" ht="12.75" customHeight="1"/>
    <row r="67" spans="2:28" ht="12.75" customHeight="1">
      <c r="B67" s="141"/>
      <c r="C67" s="128"/>
      <c r="D67" s="128"/>
      <c r="E67" s="1337"/>
      <c r="F67" s="1337"/>
      <c r="G67" s="1337"/>
      <c r="H67" s="1337"/>
      <c r="I67" s="1337"/>
      <c r="J67" s="1337"/>
      <c r="K67" s="1337"/>
      <c r="L67" s="1337"/>
      <c r="M67" s="1337"/>
      <c r="N67" s="1337"/>
      <c r="O67" s="1337"/>
      <c r="P67" s="1337"/>
      <c r="Q67" s="1337"/>
      <c r="R67" s="1337"/>
      <c r="S67" s="1337"/>
      <c r="T67" s="1337"/>
      <c r="U67" s="1337"/>
      <c r="V67" s="1337"/>
      <c r="W67" s="1337"/>
      <c r="X67" s="1337"/>
      <c r="Y67" s="1337"/>
      <c r="Z67" s="1337"/>
      <c r="AA67" s="1337"/>
      <c r="AB67" s="1337"/>
    </row>
    <row r="68" spans="2:28" ht="12.75" customHeight="1">
      <c r="B68" s="141"/>
      <c r="C68" s="128"/>
      <c r="D68" s="128"/>
      <c r="E68" s="1337"/>
      <c r="F68" s="1337"/>
      <c r="G68" s="1337"/>
      <c r="H68" s="1337"/>
      <c r="I68" s="1337"/>
      <c r="J68" s="1337"/>
      <c r="K68" s="1337"/>
      <c r="L68" s="1337"/>
      <c r="M68" s="1337"/>
      <c r="N68" s="1337"/>
      <c r="O68" s="1337"/>
      <c r="P68" s="1337"/>
      <c r="Q68" s="1337"/>
      <c r="R68" s="1337"/>
      <c r="S68" s="1337"/>
      <c r="T68" s="1337"/>
      <c r="U68" s="1337"/>
      <c r="V68" s="1337"/>
      <c r="W68" s="1337"/>
      <c r="X68" s="1337"/>
      <c r="Y68" s="1337"/>
      <c r="Z68" s="1337"/>
      <c r="AA68" s="1337"/>
      <c r="AB68" s="1337"/>
    </row>
    <row r="69" spans="2:28" ht="12.75" customHeight="1">
      <c r="B69" s="141"/>
      <c r="C69" s="128"/>
      <c r="D69" s="128"/>
      <c r="E69" s="1337"/>
      <c r="F69" s="1337"/>
      <c r="G69" s="1337"/>
      <c r="H69" s="1337"/>
      <c r="I69" s="1337"/>
      <c r="J69" s="1337"/>
      <c r="K69" s="1337"/>
      <c r="L69" s="1337"/>
      <c r="M69" s="1337"/>
      <c r="N69" s="1337"/>
      <c r="O69" s="1337"/>
      <c r="P69" s="1337"/>
      <c r="Q69" s="1337"/>
      <c r="R69" s="1337"/>
      <c r="S69" s="1337"/>
      <c r="T69" s="1337"/>
      <c r="U69" s="1337"/>
      <c r="V69" s="1337"/>
      <c r="W69" s="1337"/>
      <c r="X69" s="1337"/>
      <c r="Y69" s="1337"/>
      <c r="Z69" s="1337"/>
      <c r="AA69" s="1337"/>
      <c r="AB69" s="1337"/>
    </row>
    <row r="70" spans="2:28" ht="12.75" customHeight="1">
      <c r="B70" s="141"/>
      <c r="C70" s="128"/>
      <c r="D70" s="128"/>
      <c r="E70" s="1337"/>
      <c r="F70" s="1337"/>
      <c r="G70" s="1337"/>
      <c r="H70" s="1337"/>
      <c r="I70" s="1337"/>
      <c r="J70" s="1337"/>
      <c r="K70" s="1337"/>
      <c r="L70" s="1337"/>
      <c r="M70" s="1337"/>
      <c r="N70" s="1337"/>
      <c r="O70" s="1337"/>
      <c r="P70" s="1337"/>
      <c r="Q70" s="1337"/>
      <c r="R70" s="1337"/>
      <c r="S70" s="1337"/>
      <c r="T70" s="1337"/>
      <c r="U70" s="1337"/>
      <c r="V70" s="1337"/>
      <c r="W70" s="1337"/>
      <c r="X70" s="1337"/>
      <c r="Y70" s="1337"/>
      <c r="Z70" s="1337"/>
      <c r="AA70" s="1337"/>
      <c r="AB70" s="1337"/>
    </row>
    <row r="71" spans="2:28" ht="12.75" customHeight="1">
      <c r="B71" s="141"/>
      <c r="C71" s="128"/>
      <c r="D71" s="128"/>
      <c r="E71" s="1337"/>
      <c r="F71" s="1337"/>
      <c r="G71" s="1337"/>
      <c r="H71" s="1337"/>
      <c r="I71" s="1337"/>
      <c r="J71" s="1337"/>
      <c r="K71" s="1337"/>
      <c r="L71" s="1337"/>
      <c r="M71" s="1337"/>
      <c r="N71" s="1337"/>
      <c r="O71" s="1337"/>
      <c r="P71" s="1337"/>
      <c r="Q71" s="1337"/>
      <c r="R71" s="1337"/>
      <c r="S71" s="1337"/>
      <c r="T71" s="1337"/>
      <c r="U71" s="1337"/>
      <c r="V71" s="1337"/>
      <c r="W71" s="1337"/>
      <c r="X71" s="1337"/>
      <c r="Y71" s="1337"/>
      <c r="Z71" s="1337"/>
      <c r="AA71" s="1337"/>
      <c r="AB71" s="1337"/>
    </row>
    <row r="72" spans="2:28" ht="12.75" customHeight="1">
      <c r="B72" s="141"/>
      <c r="C72" s="128"/>
      <c r="D72" s="128"/>
      <c r="E72" s="1337"/>
      <c r="F72" s="1337"/>
      <c r="G72" s="1337"/>
      <c r="H72" s="1337"/>
      <c r="I72" s="1337"/>
      <c r="J72" s="1337"/>
      <c r="K72" s="1337"/>
      <c r="L72" s="1337"/>
      <c r="M72" s="1337"/>
      <c r="N72" s="1337"/>
      <c r="O72" s="1337"/>
      <c r="P72" s="1337"/>
      <c r="Q72" s="1337"/>
      <c r="R72" s="1337"/>
      <c r="S72" s="1337"/>
      <c r="T72" s="1337"/>
      <c r="U72" s="1337"/>
      <c r="V72" s="1337"/>
      <c r="W72" s="1337"/>
      <c r="X72" s="1337"/>
      <c r="Y72" s="1337"/>
      <c r="Z72" s="1337"/>
      <c r="AA72" s="1337"/>
      <c r="AB72" s="1337"/>
    </row>
    <row r="73" spans="2:28" ht="12.75" customHeight="1">
      <c r="B73" s="141"/>
      <c r="C73" s="128"/>
      <c r="D73" s="128"/>
      <c r="E73" s="1337"/>
      <c r="F73" s="1337"/>
      <c r="G73" s="1337"/>
      <c r="H73" s="1337"/>
      <c r="I73" s="1337"/>
      <c r="J73" s="1337"/>
      <c r="K73" s="1337"/>
      <c r="L73" s="1337"/>
      <c r="M73" s="1337"/>
      <c r="N73" s="1337"/>
      <c r="O73" s="1337"/>
      <c r="P73" s="1337"/>
      <c r="Q73" s="1337"/>
      <c r="R73" s="1337"/>
      <c r="S73" s="1337"/>
      <c r="T73" s="1337"/>
      <c r="U73" s="1337"/>
      <c r="V73" s="1337"/>
      <c r="W73" s="1337"/>
      <c r="X73" s="1337"/>
      <c r="Y73" s="1337"/>
      <c r="Z73" s="1337"/>
      <c r="AA73" s="1337"/>
      <c r="AB73" s="1337"/>
    </row>
    <row r="74" spans="2:28" ht="12.75" customHeight="1">
      <c r="B74" s="141"/>
      <c r="C74" s="128"/>
      <c r="D74" s="128"/>
      <c r="E74" s="1338"/>
      <c r="F74" s="1338"/>
      <c r="G74" s="1337"/>
      <c r="H74" s="1337"/>
      <c r="I74" s="1337"/>
      <c r="J74" s="1337"/>
      <c r="K74" s="1337"/>
      <c r="L74" s="1337"/>
      <c r="M74" s="1337"/>
      <c r="N74" s="1337"/>
      <c r="O74" s="1337"/>
      <c r="P74" s="1337"/>
      <c r="Q74" s="1337"/>
      <c r="R74" s="1337"/>
      <c r="S74" s="1337"/>
      <c r="T74" s="1337"/>
      <c r="U74" s="1337"/>
      <c r="V74" s="1337"/>
      <c r="W74" s="1337"/>
      <c r="X74" s="1337"/>
      <c r="Y74" s="1337"/>
      <c r="Z74" s="1337"/>
      <c r="AA74" s="1337"/>
      <c r="AB74" s="1337"/>
    </row>
    <row r="75" spans="2:28" ht="12.75" customHeight="1">
      <c r="B75" s="141"/>
      <c r="C75" s="128"/>
      <c r="D75" s="128"/>
      <c r="E75" s="1337"/>
      <c r="F75" s="1337"/>
      <c r="G75" s="1337"/>
      <c r="H75" s="1337"/>
      <c r="I75" s="1337"/>
      <c r="J75" s="1337"/>
      <c r="K75" s="1337"/>
      <c r="L75" s="1337"/>
      <c r="M75" s="1337"/>
      <c r="N75" s="1337"/>
      <c r="O75" s="1337"/>
      <c r="P75" s="1337"/>
      <c r="Q75" s="1337"/>
      <c r="R75" s="1337"/>
      <c r="S75" s="1337"/>
      <c r="T75" s="1337"/>
      <c r="U75" s="1337"/>
      <c r="V75" s="1337"/>
      <c r="W75" s="1337"/>
      <c r="X75" s="1337"/>
      <c r="Y75" s="1337"/>
      <c r="Z75" s="1337"/>
      <c r="AA75" s="1337"/>
      <c r="AB75" s="1337"/>
    </row>
    <row r="76" spans="2:28" ht="12.75" customHeight="1">
      <c r="B76" s="141"/>
      <c r="C76" s="128"/>
      <c r="D76" s="128"/>
      <c r="E76" s="1337"/>
      <c r="F76" s="1337"/>
      <c r="G76" s="1337"/>
      <c r="H76" s="1337"/>
      <c r="I76" s="1337"/>
      <c r="J76" s="1337"/>
      <c r="K76" s="1337"/>
      <c r="L76" s="1337"/>
      <c r="M76" s="1337"/>
      <c r="N76" s="1337"/>
      <c r="O76" s="1337"/>
      <c r="P76" s="1337"/>
      <c r="Q76" s="1337"/>
      <c r="R76" s="1337"/>
      <c r="S76" s="1337"/>
      <c r="T76" s="1337"/>
      <c r="U76" s="1337"/>
      <c r="V76" s="1337"/>
      <c r="W76" s="1337"/>
      <c r="X76" s="1337"/>
      <c r="Y76" s="1337"/>
      <c r="Z76" s="1337"/>
      <c r="AA76" s="1337"/>
      <c r="AB76" s="1337"/>
    </row>
    <row r="77" spans="2:28" ht="12.75" customHeight="1">
      <c r="B77" s="141"/>
      <c r="C77" s="128"/>
      <c r="D77" s="128"/>
      <c r="E77" s="1337"/>
      <c r="F77" s="1337"/>
      <c r="G77" s="1337"/>
      <c r="H77" s="1337"/>
      <c r="I77" s="1337"/>
      <c r="J77" s="1337"/>
      <c r="K77" s="1337"/>
      <c r="L77" s="1337"/>
      <c r="M77" s="1337"/>
      <c r="N77" s="1337"/>
      <c r="O77" s="1337"/>
      <c r="P77" s="1337"/>
      <c r="Q77" s="1337"/>
      <c r="R77" s="1337"/>
      <c r="S77" s="1337"/>
      <c r="T77" s="1337"/>
      <c r="U77" s="1337"/>
      <c r="V77" s="1337"/>
      <c r="W77" s="1337"/>
      <c r="X77" s="1337"/>
      <c r="Y77" s="1337"/>
      <c r="Z77" s="1337"/>
      <c r="AA77" s="1337"/>
      <c r="AB77" s="1337"/>
    </row>
    <row r="78" spans="2:28" ht="12.75" customHeight="1">
      <c r="B78" s="141"/>
      <c r="C78" s="128"/>
      <c r="D78" s="128"/>
      <c r="E78" s="1337"/>
      <c r="F78" s="1337"/>
      <c r="G78" s="1337"/>
      <c r="H78" s="1337"/>
      <c r="I78" s="1337"/>
      <c r="J78" s="1337"/>
      <c r="K78" s="1337"/>
      <c r="L78" s="1337"/>
      <c r="M78" s="1337"/>
      <c r="N78" s="1337"/>
      <c r="O78" s="1337"/>
      <c r="P78" s="1337"/>
      <c r="Q78" s="1337"/>
      <c r="R78" s="1337"/>
      <c r="S78" s="1337"/>
      <c r="T78" s="1337"/>
      <c r="U78" s="1337"/>
      <c r="V78" s="1337"/>
      <c r="W78" s="1337"/>
      <c r="X78" s="1337"/>
      <c r="Y78" s="1337"/>
      <c r="Z78" s="1337"/>
      <c r="AA78" s="1337"/>
      <c r="AB78" s="1337"/>
    </row>
    <row r="79" ht="12.75" customHeight="1"/>
    <row r="80" ht="12.75" customHeight="1"/>
    <row r="81" ht="12.75" customHeight="1" thickBot="1"/>
    <row r="82" spans="1:31" ht="12.75" customHeight="1">
      <c r="A82" s="135"/>
      <c r="B82" s="161" t="s">
        <v>166</v>
      </c>
      <c r="C82" s="137"/>
      <c r="D82" s="137"/>
      <c r="E82" s="1346">
        <f>VLOOKUP($B$64,$B$46:$AB$57,COLUMNS($B46:E$57),FALSE)</f>
        <v>0.913</v>
      </c>
      <c r="F82" s="1346"/>
      <c r="G82" s="1346">
        <f>VLOOKUP($B$64,$B$46:$AB$57,COLUMNS($B48:G$57),FALSE)</f>
        <v>1.644</v>
      </c>
      <c r="H82" s="1346"/>
      <c r="I82" s="1346">
        <f>VLOOKUP($B$64,$B$46:$AB$57,COLUMNS($B50:I$57),FALSE)</f>
        <v>2.568</v>
      </c>
      <c r="J82" s="1346"/>
      <c r="K82" s="1346">
        <f>VLOOKUP($B$64,$B$46:$AB$57,COLUMNS($B52:K$57),FALSE)</f>
        <v>3.908</v>
      </c>
      <c r="L82" s="1346"/>
      <c r="M82" s="1346">
        <f>VLOOKUP($B$64,$B$46:$AB$57,COLUMNS($B54:M$57),FALSE)</f>
        <v>4.935</v>
      </c>
      <c r="N82" s="1346"/>
      <c r="O82" s="1346">
        <f>VLOOKUP($B$64,$B$46:$AB$57,COLUMNS($B56:O$57),FALSE)</f>
        <v>5.255</v>
      </c>
      <c r="P82" s="1346"/>
      <c r="Q82" s="1346">
        <f>VLOOKUP($B$64,$B$46:$AB$57,COLUMNS($B57:Q$57),FALSE)</f>
        <v>5.375</v>
      </c>
      <c r="R82" s="1346"/>
      <c r="S82" s="1346">
        <f>VLOOKUP($B$64,$B$46:$AB$57,COLUMNS($B57:S$57),FALSE)</f>
        <v>4.688</v>
      </c>
      <c r="T82" s="1346"/>
      <c r="U82" s="1346">
        <f>VLOOKUP($B$64,$B$46:$AB$57,COLUMNS($B57:U$57),FALSE)</f>
        <v>3.286</v>
      </c>
      <c r="V82" s="1346"/>
      <c r="W82" s="1346">
        <f>VLOOKUP($B$64,$B$46:$AB$57,COLUMNS($B57:W$57),FALSE)</f>
        <v>1.908</v>
      </c>
      <c r="X82" s="1346"/>
      <c r="Y82" s="1346">
        <f>VLOOKUP($B$64,$B$46:$AB$57,COLUMNS($B57:Y$57),FALSE)</f>
        <v>1.074</v>
      </c>
      <c r="Z82" s="1346"/>
      <c r="AA82" s="1346">
        <f>VLOOKUP($B$64,$B$46:$AB$57,COLUMNS($B57:AA$57),FALSE)</f>
        <v>0.694</v>
      </c>
      <c r="AB82" s="1346"/>
      <c r="AC82" s="1354">
        <f>E82*31+G82*28+I82*31+K82*30+M82*31+O82*30+Q82*31+S82*31+U82*30+W82*31+Y82*30+AA82*31</f>
        <v>1105.233</v>
      </c>
      <c r="AD82" s="1354"/>
      <c r="AE82" s="139"/>
    </row>
    <row r="83" spans="1:31" ht="12.75" customHeight="1" thickBot="1">
      <c r="A83" s="155"/>
      <c r="B83" s="156" t="str">
        <f>B64</f>
        <v>Stuttgart</v>
      </c>
      <c r="C83" s="157"/>
      <c r="D83" s="157"/>
      <c r="E83" s="162">
        <f>IF(E82&gt;0,0,1)</f>
        <v>0</v>
      </c>
      <c r="F83" s="162"/>
      <c r="G83" s="162">
        <f>IF(G82&gt;0,0,1)</f>
        <v>0</v>
      </c>
      <c r="H83" s="162"/>
      <c r="I83" s="162">
        <f>IF(I82&gt;0,0,1)</f>
        <v>0</v>
      </c>
      <c r="J83" s="162"/>
      <c r="K83" s="162">
        <f>IF(K82&gt;0,0,1)</f>
        <v>0</v>
      </c>
      <c r="L83" s="162"/>
      <c r="M83" s="162">
        <f>IF(M82&gt;0,0,1)</f>
        <v>0</v>
      </c>
      <c r="N83" s="162"/>
      <c r="O83" s="162">
        <f>IF(O82&gt;0,0,1)</f>
        <v>0</v>
      </c>
      <c r="P83" s="162"/>
      <c r="Q83" s="162">
        <f>IF(Q82&gt;0,0,1)</f>
        <v>0</v>
      </c>
      <c r="R83" s="162"/>
      <c r="S83" s="162">
        <f>IF(S82&gt;0,0,1)</f>
        <v>0</v>
      </c>
      <c r="T83" s="162"/>
      <c r="U83" s="162">
        <f>IF(U82&gt;0,0,1)</f>
        <v>0</v>
      </c>
      <c r="V83" s="162"/>
      <c r="W83" s="162">
        <f>IF(W82&gt;0,0,1)</f>
        <v>0</v>
      </c>
      <c r="X83" s="162"/>
      <c r="Y83" s="162">
        <f>IF(Y82&gt;0,0,1)</f>
        <v>0</v>
      </c>
      <c r="Z83" s="162"/>
      <c r="AA83" s="162">
        <f>IF(AA82&gt;0,0,1)</f>
        <v>0</v>
      </c>
      <c r="AB83" s="162"/>
      <c r="AC83" s="1351">
        <f>SUM(E83:AB83)</f>
        <v>0</v>
      </c>
      <c r="AD83" s="1351"/>
      <c r="AE83" s="159"/>
    </row>
    <row r="84" spans="5:27" ht="12.75" customHeight="1">
      <c r="E84" s="101">
        <f>IF(E83=1,"Jan,","")</f>
      </c>
      <c r="G84" s="101">
        <f>IF(G83=1,"Feb,","")</f>
      </c>
      <c r="I84" s="101">
        <f>IF(I83=1,"Mrz,","")</f>
      </c>
      <c r="K84" s="101">
        <f>IF(K83=1,"Apr,","")</f>
      </c>
      <c r="M84" s="101">
        <f>IF(M83=1,"Mai,","")</f>
      </c>
      <c r="O84" s="101">
        <f>IF(O83=1,"Jun,","")</f>
      </c>
      <c r="Q84" s="101">
        <f>IF(Q83=1,"Jul,","")</f>
      </c>
      <c r="S84" s="101">
        <f>IF(S83=1,"Aug,","")</f>
      </c>
      <c r="U84" s="101">
        <f>IF(U83=1,"Sep,","")</f>
      </c>
      <c r="W84" s="101">
        <f>IF(W83=1,"Okt,","")</f>
      </c>
      <c r="Y84" s="101">
        <f>IF(Y83=1,"Nov,","")</f>
      </c>
      <c r="AA84" s="101">
        <f>IF(AA83=1,"Dez,","")</f>
      </c>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sheetData>
  <sheetProtection password="F30F" sheet="1"/>
  <mergeCells count="360">
    <mergeCell ref="F34:H34"/>
    <mergeCell ref="S3:AB4"/>
    <mergeCell ref="E8:I8"/>
    <mergeCell ref="Y82:Z82"/>
    <mergeCell ref="AA82:AB82"/>
    <mergeCell ref="M82:N82"/>
    <mergeCell ref="O82:P82"/>
    <mergeCell ref="K24:L24"/>
    <mergeCell ref="K26:L26"/>
    <mergeCell ref="K28:L28"/>
    <mergeCell ref="AC83:AD83"/>
    <mergeCell ref="F59:AD60"/>
    <mergeCell ref="F61:AD62"/>
    <mergeCell ref="AC82:AD82"/>
    <mergeCell ref="Q82:R82"/>
    <mergeCell ref="S82:T82"/>
    <mergeCell ref="U82:V82"/>
    <mergeCell ref="W82:X82"/>
    <mergeCell ref="E82:F82"/>
    <mergeCell ref="G82:H82"/>
    <mergeCell ref="K30:L30"/>
    <mergeCell ref="I82:J82"/>
    <mergeCell ref="K82:L82"/>
    <mergeCell ref="K32:L32"/>
    <mergeCell ref="K35:L35"/>
    <mergeCell ref="F30:H30"/>
    <mergeCell ref="F32:H32"/>
    <mergeCell ref="E57:F57"/>
    <mergeCell ref="G57:H57"/>
    <mergeCell ref="I57:J57"/>
    <mergeCell ref="K10:L10"/>
    <mergeCell ref="K12:L12"/>
    <mergeCell ref="K14:L14"/>
    <mergeCell ref="K16:L16"/>
    <mergeCell ref="K18:L18"/>
    <mergeCell ref="K20:L20"/>
    <mergeCell ref="K22:L22"/>
    <mergeCell ref="F22:H22"/>
    <mergeCell ref="F26:H26"/>
    <mergeCell ref="F28:H28"/>
    <mergeCell ref="F14:H14"/>
    <mergeCell ref="F16:H16"/>
    <mergeCell ref="F18:H18"/>
    <mergeCell ref="F20:H20"/>
    <mergeCell ref="K8:M8"/>
    <mergeCell ref="F35:H35"/>
    <mergeCell ref="E44:F44"/>
    <mergeCell ref="G44:H44"/>
    <mergeCell ref="I44:J44"/>
    <mergeCell ref="K44:L44"/>
    <mergeCell ref="M44:N44"/>
    <mergeCell ref="F10:H10"/>
    <mergeCell ref="F12:H12"/>
    <mergeCell ref="F24:H24"/>
    <mergeCell ref="O44:P44"/>
    <mergeCell ref="Q44:R44"/>
    <mergeCell ref="S44:T44"/>
    <mergeCell ref="U44:V44"/>
    <mergeCell ref="E46:F46"/>
    <mergeCell ref="G46:H46"/>
    <mergeCell ref="I46:J46"/>
    <mergeCell ref="K46:L46"/>
    <mergeCell ref="M46:N46"/>
    <mergeCell ref="O46:P46"/>
    <mergeCell ref="W46:X46"/>
    <mergeCell ref="Y46:Z46"/>
    <mergeCell ref="Q46:R46"/>
    <mergeCell ref="S46:T46"/>
    <mergeCell ref="U46:V46"/>
    <mergeCell ref="AC44:AD44"/>
    <mergeCell ref="AC45:AD45"/>
    <mergeCell ref="AC46:AD46"/>
    <mergeCell ref="AA44:AB44"/>
    <mergeCell ref="W44:X44"/>
    <mergeCell ref="Y44:Z44"/>
    <mergeCell ref="Y47:Z47"/>
    <mergeCell ref="AA47:AB47"/>
    <mergeCell ref="AA46:AB46"/>
    <mergeCell ref="E47:F47"/>
    <mergeCell ref="G47:H47"/>
    <mergeCell ref="I47:J47"/>
    <mergeCell ref="K47:L47"/>
    <mergeCell ref="M47:N47"/>
    <mergeCell ref="O47:P47"/>
    <mergeCell ref="Q47:R47"/>
    <mergeCell ref="S47:T47"/>
    <mergeCell ref="U47:V47"/>
    <mergeCell ref="W47:X47"/>
    <mergeCell ref="AC47:AD47"/>
    <mergeCell ref="E48:F48"/>
    <mergeCell ref="G48:H48"/>
    <mergeCell ref="I48:J48"/>
    <mergeCell ref="K48:L48"/>
    <mergeCell ref="M48:N48"/>
    <mergeCell ref="O48:P48"/>
    <mergeCell ref="Q48:R48"/>
    <mergeCell ref="AC48:AD48"/>
    <mergeCell ref="E49:F49"/>
    <mergeCell ref="G49:H49"/>
    <mergeCell ref="I49:J49"/>
    <mergeCell ref="K49:L49"/>
    <mergeCell ref="M49:N49"/>
    <mergeCell ref="O49:P49"/>
    <mergeCell ref="Y49:Z49"/>
    <mergeCell ref="Q49:R49"/>
    <mergeCell ref="S49:T49"/>
    <mergeCell ref="U49:V49"/>
    <mergeCell ref="W49:X49"/>
    <mergeCell ref="AA49:AB49"/>
    <mergeCell ref="W48:X48"/>
    <mergeCell ref="Y48:Z48"/>
    <mergeCell ref="AA48:AB48"/>
    <mergeCell ref="S48:T48"/>
    <mergeCell ref="U48:V48"/>
    <mergeCell ref="AC49:AD49"/>
    <mergeCell ref="E50:F50"/>
    <mergeCell ref="G50:H50"/>
    <mergeCell ref="I50:J50"/>
    <mergeCell ref="K50:L50"/>
    <mergeCell ref="M50:N50"/>
    <mergeCell ref="O50:P50"/>
    <mergeCell ref="Q50:R50"/>
    <mergeCell ref="S50:T50"/>
    <mergeCell ref="U50:V50"/>
    <mergeCell ref="AC50:AD50"/>
    <mergeCell ref="E51:F51"/>
    <mergeCell ref="G51:H51"/>
    <mergeCell ref="I51:J51"/>
    <mergeCell ref="K51:L51"/>
    <mergeCell ref="M51:N51"/>
    <mergeCell ref="O51:P51"/>
    <mergeCell ref="Y51:Z51"/>
    <mergeCell ref="AA51:AB51"/>
    <mergeCell ref="W50:X50"/>
    <mergeCell ref="Y50:Z50"/>
    <mergeCell ref="AA50:AB50"/>
    <mergeCell ref="Q51:R51"/>
    <mergeCell ref="S51:T51"/>
    <mergeCell ref="U51:V51"/>
    <mergeCell ref="W51:X51"/>
    <mergeCell ref="AC51:AD51"/>
    <mergeCell ref="E52:F52"/>
    <mergeCell ref="G52:H52"/>
    <mergeCell ref="I52:J52"/>
    <mergeCell ref="K52:L52"/>
    <mergeCell ref="M52:N52"/>
    <mergeCell ref="O52:P52"/>
    <mergeCell ref="Q52:R52"/>
    <mergeCell ref="S52:T52"/>
    <mergeCell ref="U52:V52"/>
    <mergeCell ref="AC52:AD52"/>
    <mergeCell ref="E53:F53"/>
    <mergeCell ref="G53:H53"/>
    <mergeCell ref="I53:J53"/>
    <mergeCell ref="K53:L53"/>
    <mergeCell ref="M53:N53"/>
    <mergeCell ref="O53:P53"/>
    <mergeCell ref="Y53:Z53"/>
    <mergeCell ref="AA53:AB53"/>
    <mergeCell ref="W52:X52"/>
    <mergeCell ref="Y52:Z52"/>
    <mergeCell ref="AA52:AB52"/>
    <mergeCell ref="Q53:R53"/>
    <mergeCell ref="S53:T53"/>
    <mergeCell ref="U53:V53"/>
    <mergeCell ref="W53:X53"/>
    <mergeCell ref="AC53:AD53"/>
    <mergeCell ref="E54:F54"/>
    <mergeCell ref="G54:H54"/>
    <mergeCell ref="I54:J54"/>
    <mergeCell ref="K54:L54"/>
    <mergeCell ref="M54:N54"/>
    <mergeCell ref="O54:P54"/>
    <mergeCell ref="Q54:R54"/>
    <mergeCell ref="S54:T54"/>
    <mergeCell ref="U54:V54"/>
    <mergeCell ref="AC54:AD54"/>
    <mergeCell ref="E55:F55"/>
    <mergeCell ref="G55:H55"/>
    <mergeCell ref="I55:J55"/>
    <mergeCell ref="K55:L55"/>
    <mergeCell ref="M55:N55"/>
    <mergeCell ref="O55:P55"/>
    <mergeCell ref="W55:X55"/>
    <mergeCell ref="Y55:Z55"/>
    <mergeCell ref="AA55:AB55"/>
    <mergeCell ref="W54:X54"/>
    <mergeCell ref="Y54:Z54"/>
    <mergeCell ref="AA54:AB54"/>
    <mergeCell ref="W56:X56"/>
    <mergeCell ref="Y56:Z56"/>
    <mergeCell ref="U56:V56"/>
    <mergeCell ref="U55:V55"/>
    <mergeCell ref="O56:P56"/>
    <mergeCell ref="Q56:R56"/>
    <mergeCell ref="AA56:AB56"/>
    <mergeCell ref="M57:N57"/>
    <mergeCell ref="O57:P57"/>
    <mergeCell ref="Q57:R57"/>
    <mergeCell ref="S56:T56"/>
    <mergeCell ref="S57:T57"/>
    <mergeCell ref="K57:L57"/>
    <mergeCell ref="AC55:AD55"/>
    <mergeCell ref="E56:F56"/>
    <mergeCell ref="G56:H56"/>
    <mergeCell ref="I56:J56"/>
    <mergeCell ref="K56:L56"/>
    <mergeCell ref="M56:N56"/>
    <mergeCell ref="AC56:AD56"/>
    <mergeCell ref="Q55:R55"/>
    <mergeCell ref="S55:T55"/>
    <mergeCell ref="AC57:AD57"/>
    <mergeCell ref="U57:V57"/>
    <mergeCell ref="W57:X57"/>
    <mergeCell ref="Y57:Z57"/>
    <mergeCell ref="AA57:AB57"/>
    <mergeCell ref="E67:F67"/>
    <mergeCell ref="G67:H67"/>
    <mergeCell ref="I67:J67"/>
    <mergeCell ref="K67:L67"/>
    <mergeCell ref="M67:N67"/>
    <mergeCell ref="O67:P67"/>
    <mergeCell ref="Q67:R67"/>
    <mergeCell ref="S67:T67"/>
    <mergeCell ref="U67:V67"/>
    <mergeCell ref="W67:X67"/>
    <mergeCell ref="Y67:Z67"/>
    <mergeCell ref="AA67:AB67"/>
    <mergeCell ref="E68:F68"/>
    <mergeCell ref="G68:H68"/>
    <mergeCell ref="I68:J68"/>
    <mergeCell ref="K68:L68"/>
    <mergeCell ref="M68:N68"/>
    <mergeCell ref="O68:P68"/>
    <mergeCell ref="Q68:R68"/>
    <mergeCell ref="S68:T68"/>
    <mergeCell ref="U68:V68"/>
    <mergeCell ref="W68:X68"/>
    <mergeCell ref="Y68:Z68"/>
    <mergeCell ref="AA68:AB68"/>
    <mergeCell ref="E69:F69"/>
    <mergeCell ref="G69:H69"/>
    <mergeCell ref="I69:J69"/>
    <mergeCell ref="K69:L69"/>
    <mergeCell ref="M69:N69"/>
    <mergeCell ref="O69:P69"/>
    <mergeCell ref="Q69:R69"/>
    <mergeCell ref="S69:T69"/>
    <mergeCell ref="U69:V69"/>
    <mergeCell ref="W69:X69"/>
    <mergeCell ref="Y69:Z69"/>
    <mergeCell ref="AA69:AB69"/>
    <mergeCell ref="E70:F70"/>
    <mergeCell ref="G70:H70"/>
    <mergeCell ref="I70:J70"/>
    <mergeCell ref="K70:L70"/>
    <mergeCell ref="M70:N70"/>
    <mergeCell ref="O70:P70"/>
    <mergeCell ref="Q70:R70"/>
    <mergeCell ref="S70:T70"/>
    <mergeCell ref="U70:V70"/>
    <mergeCell ref="W70:X70"/>
    <mergeCell ref="Y70:Z70"/>
    <mergeCell ref="AA70:AB70"/>
    <mergeCell ref="E71:F71"/>
    <mergeCell ref="G71:H71"/>
    <mergeCell ref="I71:J71"/>
    <mergeCell ref="K71:L71"/>
    <mergeCell ref="M71:N71"/>
    <mergeCell ref="O71:P71"/>
    <mergeCell ref="Q71:R71"/>
    <mergeCell ref="S71:T71"/>
    <mergeCell ref="U71:V71"/>
    <mergeCell ref="W71:X71"/>
    <mergeCell ref="Y71:Z71"/>
    <mergeCell ref="AA71:AB71"/>
    <mergeCell ref="E72:F72"/>
    <mergeCell ref="G72:H72"/>
    <mergeCell ref="I72:J72"/>
    <mergeCell ref="K72:L72"/>
    <mergeCell ref="M72:N72"/>
    <mergeCell ref="O72:P72"/>
    <mergeCell ref="Q72:R72"/>
    <mergeCell ref="S72:T72"/>
    <mergeCell ref="U72:V72"/>
    <mergeCell ref="W72:X72"/>
    <mergeCell ref="Y72:Z72"/>
    <mergeCell ref="AA72:AB72"/>
    <mergeCell ref="E73:F73"/>
    <mergeCell ref="G73:H73"/>
    <mergeCell ref="I73:J73"/>
    <mergeCell ref="K73:L73"/>
    <mergeCell ref="M73:N73"/>
    <mergeCell ref="O73:P73"/>
    <mergeCell ref="Q73:R73"/>
    <mergeCell ref="S73:T73"/>
    <mergeCell ref="U73:V73"/>
    <mergeCell ref="W73:X73"/>
    <mergeCell ref="Y73:Z73"/>
    <mergeCell ref="AA73:AB73"/>
    <mergeCell ref="E74:F74"/>
    <mergeCell ref="G74:H74"/>
    <mergeCell ref="I74:J74"/>
    <mergeCell ref="K74:L74"/>
    <mergeCell ref="M74:N74"/>
    <mergeCell ref="O74:P74"/>
    <mergeCell ref="Q74:R74"/>
    <mergeCell ref="S74:T74"/>
    <mergeCell ref="U74:V74"/>
    <mergeCell ref="W74:X74"/>
    <mergeCell ref="Y74:Z74"/>
    <mergeCell ref="AA74:AB74"/>
    <mergeCell ref="E75:F75"/>
    <mergeCell ref="G75:H75"/>
    <mergeCell ref="I75:J75"/>
    <mergeCell ref="K75:L75"/>
    <mergeCell ref="M75:N75"/>
    <mergeCell ref="O75:P75"/>
    <mergeCell ref="Q75:R75"/>
    <mergeCell ref="S75:T75"/>
    <mergeCell ref="U75:V75"/>
    <mergeCell ref="W75:X75"/>
    <mergeCell ref="Y75:Z75"/>
    <mergeCell ref="AA75:AB75"/>
    <mergeCell ref="E76:F76"/>
    <mergeCell ref="G76:H76"/>
    <mergeCell ref="I76:J76"/>
    <mergeCell ref="K76:L76"/>
    <mergeCell ref="M76:N76"/>
    <mergeCell ref="O76:P76"/>
    <mergeCell ref="Q76:R76"/>
    <mergeCell ref="S76:T76"/>
    <mergeCell ref="U76:V76"/>
    <mergeCell ref="W76:X76"/>
    <mergeCell ref="Y76:Z76"/>
    <mergeCell ref="Q78:R78"/>
    <mergeCell ref="AA76:AB76"/>
    <mergeCell ref="E77:F77"/>
    <mergeCell ref="G77:H77"/>
    <mergeCell ref="I77:J77"/>
    <mergeCell ref="K77:L77"/>
    <mergeCell ref="M77:N77"/>
    <mergeCell ref="O77:P77"/>
    <mergeCell ref="Q77:R77"/>
    <mergeCell ref="S77:T77"/>
    <mergeCell ref="E78:F78"/>
    <mergeCell ref="G78:H78"/>
    <mergeCell ref="I78:J78"/>
    <mergeCell ref="K78:L78"/>
    <mergeCell ref="M78:N78"/>
    <mergeCell ref="O78:P78"/>
    <mergeCell ref="S78:T78"/>
    <mergeCell ref="U78:V78"/>
    <mergeCell ref="W78:X78"/>
    <mergeCell ref="Y78:Z78"/>
    <mergeCell ref="AA78:AB78"/>
    <mergeCell ref="W77:X77"/>
    <mergeCell ref="Y77:Z77"/>
    <mergeCell ref="AA77:AB77"/>
    <mergeCell ref="U77:V77"/>
  </mergeCells>
  <printOptions/>
  <pageMargins left="0.7874015748031497" right="0.1968503937007874" top="0.5905511811023623" bottom="0.984251968503937" header="0.5118110236220472" footer="0.5118110236220472"/>
  <pageSetup horizontalDpi="600" verticalDpi="600" orientation="portrait" paperSize="9" scale="80" r:id="rId2"/>
  <headerFooter alignWithMargins="0">
    <oddFooter>&amp;L&amp;8LEL Schwäbisch Gmünd 
(Abt. 4; WS)&amp;C&amp;8&amp;F&amp;R&amp;8&amp;D</oddFooter>
  </headerFooter>
  <drawing r:id="rId1"/>
</worksheet>
</file>

<file path=xl/worksheets/sheet7.xml><?xml version="1.0" encoding="utf-8"?>
<worksheet xmlns="http://schemas.openxmlformats.org/spreadsheetml/2006/main" xmlns:r="http://schemas.openxmlformats.org/officeDocument/2006/relationships">
  <dimension ref="A1:AI235"/>
  <sheetViews>
    <sheetView zoomScale="90" zoomScaleNormal="90" workbookViewId="0" topLeftCell="A19">
      <selection activeCell="G42" sqref="G42:H42"/>
    </sheetView>
  </sheetViews>
  <sheetFormatPr defaultColWidth="11.421875" defaultRowHeight="12.75"/>
  <cols>
    <col min="1" max="1" width="11.421875" style="101" customWidth="1"/>
    <col min="2" max="3" width="5.7109375" style="101" customWidth="1"/>
    <col min="4" max="4" width="20.7109375" style="101" customWidth="1"/>
    <col min="5" max="6" width="10.7109375" style="101" customWidth="1"/>
    <col min="7" max="8" width="11.421875" style="101" customWidth="1"/>
    <col min="9" max="9" width="8.7109375" style="101" customWidth="1"/>
    <col min="10" max="10" width="1.7109375" style="101" customWidth="1"/>
    <col min="11" max="11" width="2.7109375" style="101" customWidth="1"/>
    <col min="12" max="12" width="11.421875" style="630" customWidth="1"/>
    <col min="13" max="13" width="12.57421875" style="101" bestFit="1" customWidth="1"/>
    <col min="14" max="15" width="11.421875" style="101" customWidth="1"/>
    <col min="16" max="16" width="13.57421875" style="101" bestFit="1" customWidth="1"/>
    <col min="17" max="17" width="12.00390625" style="101" bestFit="1" customWidth="1"/>
    <col min="18" max="16384" width="11.421875" style="101" customWidth="1"/>
  </cols>
  <sheetData>
    <row r="1" spans="2:35" ht="4.5" customHeight="1">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row>
    <row r="2" spans="1:35" ht="12.75">
      <c r="A2" s="599" t="s">
        <v>175</v>
      </c>
      <c r="B2" s="598"/>
      <c r="C2" s="598"/>
      <c r="D2" s="598"/>
      <c r="E2" s="598"/>
      <c r="F2" s="598"/>
      <c r="G2" s="600" t="str">
        <f>"aus ["&amp;Kalkulation_Eigenstrom!E7&amp;"] übernommen: "</f>
        <v>aus [Kalkulation_Eigenstrom] übernommen: </v>
      </c>
      <c r="H2" s="601"/>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1:35" ht="12.75">
      <c r="A3" s="598"/>
      <c r="B3" s="598"/>
      <c r="C3" s="598"/>
      <c r="D3" s="598"/>
      <c r="E3" s="598"/>
      <c r="F3" s="600" t="s">
        <v>504</v>
      </c>
      <c r="G3" s="1417">
        <v>42004</v>
      </c>
      <c r="H3" s="141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row>
    <row r="4" spans="1:35" ht="12.75">
      <c r="A4" s="598"/>
      <c r="B4" s="393" t="s">
        <v>298</v>
      </c>
      <c r="C4" s="394"/>
      <c r="D4" s="394"/>
      <c r="E4" s="394"/>
      <c r="F4" s="397">
        <v>0</v>
      </c>
      <c r="G4" s="1379">
        <f>IF(G6&lt;=0,1,0)</f>
        <v>1</v>
      </c>
      <c r="H4" s="1380"/>
      <c r="I4" s="598"/>
      <c r="J4" s="598"/>
      <c r="K4" s="598"/>
      <c r="L4" s="598"/>
      <c r="M4" s="598"/>
      <c r="N4" s="598"/>
      <c r="O4" s="598"/>
      <c r="P4" s="598"/>
      <c r="Q4" s="598"/>
      <c r="R4" s="598"/>
      <c r="S4" s="598"/>
      <c r="T4" s="598"/>
      <c r="U4" s="598"/>
      <c r="V4" s="216"/>
      <c r="W4" s="216"/>
      <c r="X4" s="217"/>
      <c r="Y4" s="239"/>
      <c r="Z4" s="602"/>
      <c r="AA4" s="240" t="s">
        <v>230</v>
      </c>
      <c r="AB4" s="236">
        <f>G14</f>
        <v>0</v>
      </c>
      <c r="AC4" s="221"/>
      <c r="AD4" s="221"/>
      <c r="AE4" s="221"/>
      <c r="AF4" s="222"/>
      <c r="AG4" s="223"/>
      <c r="AH4" s="224"/>
      <c r="AI4" s="166"/>
    </row>
    <row r="5" spans="1:34" ht="12.75">
      <c r="A5" s="598"/>
      <c r="B5" s="393" t="s">
        <v>296</v>
      </c>
      <c r="C5" s="394"/>
      <c r="D5" s="394"/>
      <c r="E5" s="394"/>
      <c r="F5" s="392">
        <v>850</v>
      </c>
      <c r="G5" s="1379">
        <f>IF(OR(G6&lt;=0,G42&lt;F5),1,0)</f>
        <v>1</v>
      </c>
      <c r="H5" s="1380"/>
      <c r="I5" s="598"/>
      <c r="J5" s="598"/>
      <c r="K5" s="598"/>
      <c r="L5" s="598"/>
      <c r="M5" s="598"/>
      <c r="N5" s="598"/>
      <c r="O5" s="598"/>
      <c r="P5" s="598"/>
      <c r="Q5" s="598"/>
      <c r="R5" s="598"/>
      <c r="S5" s="598"/>
      <c r="T5" s="598"/>
      <c r="U5" s="598"/>
      <c r="V5" s="216"/>
      <c r="W5" s="216"/>
      <c r="X5" s="217"/>
      <c r="Y5" s="239"/>
      <c r="Z5" s="602"/>
      <c r="AA5" s="240" t="str">
        <f>B13</f>
        <v>Anlage nach 04/2012</v>
      </c>
      <c r="AB5" s="244">
        <f>G13</f>
        <v>3</v>
      </c>
      <c r="AC5" s="225"/>
      <c r="AD5" s="225"/>
      <c r="AE5" s="225"/>
      <c r="AF5" s="222"/>
      <c r="AG5" s="603" t="str">
        <f>"bis "&amp;Z7*100&amp;"%"</f>
        <v>bis 30%</v>
      </c>
      <c r="AH5" s="603" t="str">
        <f>"über "&amp;AA7*100&amp;"%"</f>
        <v>über 30%</v>
      </c>
    </row>
    <row r="6" spans="1:35" ht="12.75">
      <c r="A6" s="604" t="s">
        <v>180</v>
      </c>
      <c r="B6" s="183" t="s">
        <v>112</v>
      </c>
      <c r="C6" s="184"/>
      <c r="D6" s="184"/>
      <c r="E6" s="184"/>
      <c r="F6" s="185"/>
      <c r="G6" s="1391">
        <f>Kalkulation_Eigenstrom!P13</f>
        <v>0</v>
      </c>
      <c r="H6" s="1392"/>
      <c r="I6" s="598"/>
      <c r="J6" s="598"/>
      <c r="K6" s="1408" t="s">
        <v>281</v>
      </c>
      <c r="L6" s="235" t="s">
        <v>220</v>
      </c>
      <c r="M6" s="193"/>
      <c r="N6" s="193"/>
      <c r="O6" s="205" t="s">
        <v>125</v>
      </c>
      <c r="P6" s="206" t="s">
        <v>222</v>
      </c>
      <c r="Q6" s="230" t="s">
        <v>5</v>
      </c>
      <c r="R6" s="226" t="s">
        <v>232</v>
      </c>
      <c r="S6" s="212" t="s">
        <v>129</v>
      </c>
      <c r="T6" s="212" t="s">
        <v>129</v>
      </c>
      <c r="U6" s="212" t="s">
        <v>211</v>
      </c>
      <c r="V6" s="235" t="s">
        <v>229</v>
      </c>
      <c r="W6" s="193"/>
      <c r="X6" s="193"/>
      <c r="Y6" s="206" t="s">
        <v>212</v>
      </c>
      <c r="Z6" s="206" t="s">
        <v>212</v>
      </c>
      <c r="AA6" s="206" t="s">
        <v>212</v>
      </c>
      <c r="AB6" s="230" t="s">
        <v>231</v>
      </c>
      <c r="AC6" s="211" t="s">
        <v>233</v>
      </c>
      <c r="AD6" s="211" t="s">
        <v>233</v>
      </c>
      <c r="AE6" s="211" t="s">
        <v>5</v>
      </c>
      <c r="AF6" s="211" t="s">
        <v>5</v>
      </c>
      <c r="AG6" s="242" t="s">
        <v>129</v>
      </c>
      <c r="AH6" s="242" t="s">
        <v>129</v>
      </c>
      <c r="AI6" s="212" t="s">
        <v>211</v>
      </c>
    </row>
    <row r="7" spans="1:35" ht="12.75">
      <c r="A7" s="604" t="s">
        <v>180</v>
      </c>
      <c r="B7" s="186" t="s">
        <v>176</v>
      </c>
      <c r="C7" s="188"/>
      <c r="D7" s="188"/>
      <c r="E7" s="184"/>
      <c r="F7" s="187">
        <f>IF(G6&lt;=ZRB!L9,0,IF(AND(G6&lt;=ZRB!L10,G6&gt;ZRB!L9),ZRB!L9,IF(AND(G6&lt;=ZRB!L11,G6&gt;ZRB!L10),ZRB!L10,IF(ZRB!N12&gt;0,ZRB!L11,0))))</f>
        <v>0</v>
      </c>
      <c r="G7" s="1397">
        <f>F7</f>
        <v>0</v>
      </c>
      <c r="H7" s="1398"/>
      <c r="I7" s="598"/>
      <c r="J7" s="598"/>
      <c r="K7" s="1409"/>
      <c r="L7" s="193"/>
      <c r="M7" s="193"/>
      <c r="N7" s="194"/>
      <c r="O7" s="205" t="s">
        <v>211</v>
      </c>
      <c r="P7" s="207" t="s">
        <v>221</v>
      </c>
      <c r="Q7" s="605" t="str">
        <f>"0-"&amp;G90&amp;"Jahre"</f>
        <v>0-20Jahre</v>
      </c>
      <c r="R7" s="606" t="str">
        <f>""&amp;G90+1&amp;"-"&amp;G89&amp;" Jahre"</f>
        <v>21-20 Jahre</v>
      </c>
      <c r="S7" s="607">
        <f>G91</f>
        <v>1</v>
      </c>
      <c r="T7" s="607">
        <f>G92</f>
        <v>0</v>
      </c>
      <c r="U7" s="608" t="str">
        <f>"0-"&amp;G89&amp;" Jahre"</f>
        <v>0-20 Jahre</v>
      </c>
      <c r="V7" s="193"/>
      <c r="W7" s="193"/>
      <c r="X7" s="194"/>
      <c r="Y7" s="209" t="s">
        <v>211</v>
      </c>
      <c r="Z7" s="237">
        <v>0.3</v>
      </c>
      <c r="AA7" s="238">
        <f>Z7</f>
        <v>0.3</v>
      </c>
      <c r="AB7" s="605" t="str">
        <f>"0-"&amp;G90&amp;"Jahre"</f>
        <v>0-20Jahre</v>
      </c>
      <c r="AC7" s="609" t="str">
        <f>"bis "&amp;Z7*100&amp;"%"</f>
        <v>bis 30%</v>
      </c>
      <c r="AD7" s="609" t="str">
        <f>"über "&amp;AA7*100&amp;"%"</f>
        <v>über 30%</v>
      </c>
      <c r="AE7" s="609" t="str">
        <f>"bis "&amp;Z7*100&amp;"%"</f>
        <v>bis 30%</v>
      </c>
      <c r="AF7" s="609" t="str">
        <f>"über "&amp;AA7*100&amp;"%"</f>
        <v>über 30%</v>
      </c>
      <c r="AG7" s="1370">
        <f>G91</f>
        <v>1</v>
      </c>
      <c r="AH7" s="1371"/>
      <c r="AI7" s="609" t="str">
        <f>"0-"&amp;G89&amp;" Jahre"</f>
        <v>0-20 Jahre</v>
      </c>
    </row>
    <row r="8" spans="1:35" ht="12.75">
      <c r="A8" s="604" t="s">
        <v>180</v>
      </c>
      <c r="B8" s="186"/>
      <c r="C8" s="188"/>
      <c r="D8" s="188"/>
      <c r="E8" s="184"/>
      <c r="F8" s="185">
        <f>IF(G6&lt;=ZRB!L9,ZRB!L9,IF(AND(G6&lt;=ZRB!L10,G6&gt;ZRB!L9),ZRB!L10,IF(AND(G6&lt;=ZRB!L11,G6&gt;ZRB!L10),ZRB!L11,IF(ZRB!N12&gt;0,ZRB!L12,0))))</f>
        <v>10</v>
      </c>
      <c r="G8" s="1395" t="str">
        <f>IF(ZRB!N12&gt;0,"über "&amp;F8&amp;" kWp","bis "&amp;F8&amp;" kWp")</f>
        <v>bis 10 kWp</v>
      </c>
      <c r="H8" s="1396"/>
      <c r="I8" s="598"/>
      <c r="J8" s="598"/>
      <c r="K8" s="1409"/>
      <c r="L8" s="193" t="str">
        <f>G10</f>
        <v>Dachanlage</v>
      </c>
      <c r="M8" s="193"/>
      <c r="N8" s="194" t="s">
        <v>110</v>
      </c>
      <c r="O8" s="205" t="s">
        <v>126</v>
      </c>
      <c r="P8" s="205" t="s">
        <v>126</v>
      </c>
      <c r="Q8" s="231" t="s">
        <v>128</v>
      </c>
      <c r="R8" s="227" t="s">
        <v>128</v>
      </c>
      <c r="S8" s="201" t="s">
        <v>130</v>
      </c>
      <c r="T8" s="201" t="s">
        <v>130</v>
      </c>
      <c r="U8" s="201" t="s">
        <v>130</v>
      </c>
      <c r="V8" s="241"/>
      <c r="W8" s="193"/>
      <c r="X8" s="194" t="str">
        <f>N8</f>
        <v>Anteile</v>
      </c>
      <c r="Y8" s="210" t="s">
        <v>126</v>
      </c>
      <c r="Z8" s="210" t="s">
        <v>126</v>
      </c>
      <c r="AA8" s="210" t="s">
        <v>126</v>
      </c>
      <c r="AB8" s="231" t="s">
        <v>128</v>
      </c>
      <c r="AC8" s="231" t="s">
        <v>128</v>
      </c>
      <c r="AD8" s="231" t="s">
        <v>128</v>
      </c>
      <c r="AE8" s="231" t="s">
        <v>128</v>
      </c>
      <c r="AF8" s="231" t="s">
        <v>128</v>
      </c>
      <c r="AG8" s="201" t="s">
        <v>130</v>
      </c>
      <c r="AH8" s="201" t="s">
        <v>130</v>
      </c>
      <c r="AI8" s="201" t="s">
        <v>130</v>
      </c>
    </row>
    <row r="9" spans="1:35" ht="12.75">
      <c r="A9" s="604" t="s">
        <v>180</v>
      </c>
      <c r="B9" s="186" t="s">
        <v>127</v>
      </c>
      <c r="C9" s="188"/>
      <c r="D9" s="188"/>
      <c r="E9" s="184"/>
      <c r="F9" s="166"/>
      <c r="G9" s="1399">
        <f>IF(VLOOKUP(F12,Vergütungen_Stammdaten!$B$6:$AG$104,17,FALSE)&gt;0,VLOOKUP(F12,Vergütungen_Stammdaten!$B$6:$AG$104,17,FALSE),0)</f>
        <v>500</v>
      </c>
      <c r="H9" s="1400"/>
      <c r="I9" s="598"/>
      <c r="J9" s="598"/>
      <c r="K9" s="1409"/>
      <c r="L9" s="1372">
        <f>VLOOKUP(ZRB!F12,Vergütungen_Stammdaten!$B$6:$AG$104,7,FALSE)</f>
        <v>10</v>
      </c>
      <c r="M9" s="1372"/>
      <c r="N9" s="198">
        <f>IF(ZRB!G6&lt;=L9,1,L9/ZRB!G6)</f>
        <v>1</v>
      </c>
      <c r="O9" s="208">
        <f>ZRB!$G$23*N9</f>
        <v>0</v>
      </c>
      <c r="P9" s="208">
        <f>$P$13*N9</f>
        <v>0</v>
      </c>
      <c r="Q9" s="232">
        <f>IF(F10=1,VLOOKUP(ZRB!$F$12,Vergütungen_Stammdaten!$B$6:$AG$104,8,FALSE),IF(F10=2,VLOOKUP(ZRB!$F$12,Vergütungen_Stammdaten!$B$6:$AG$104,16,FALSE),0))</f>
        <v>0.1275</v>
      </c>
      <c r="R9" s="228">
        <f>$G$93</f>
        <v>0.15</v>
      </c>
      <c r="S9" s="200">
        <f>P9*Q9*$S$7</f>
        <v>0</v>
      </c>
      <c r="T9" s="200">
        <f>P9*R9*$T$7</f>
        <v>0</v>
      </c>
      <c r="U9" s="200">
        <f>S9+T9</f>
        <v>0</v>
      </c>
      <c r="V9" s="246" t="s">
        <v>245</v>
      </c>
      <c r="W9" s="247">
        <f>L9</f>
        <v>10</v>
      </c>
      <c r="X9" s="198">
        <f>N9</f>
        <v>1</v>
      </c>
      <c r="Y9" s="208">
        <f>$Y$12*N9</f>
        <v>0</v>
      </c>
      <c r="Z9" s="208">
        <f>IF(O9=0,0,IF((Y9/O9)&gt;$Z$7,O9*$Z$7,Y9))</f>
        <v>0</v>
      </c>
      <c r="AA9" s="208">
        <f>IF(O9=0,0,IF((Y9/O9)&gt;$Z$7,Y9-(O9*$Z$7),0))</f>
        <v>0</v>
      </c>
      <c r="AB9" s="232">
        <f>IF(F10=2,0,VLOOKUP(ZRB!$F$12,Vergütungen_Stammdaten!$B$6:$AG$104,8,FALSE))</f>
        <v>0.1275</v>
      </c>
      <c r="AC9" s="199">
        <f>IF(F10=2,0,VLOOKUP(ZRB!$F$12,Vergütungen_Stammdaten!$B$6:$AG$104,22,FALSE))</f>
        <v>0</v>
      </c>
      <c r="AD9" s="199">
        <f>IF(F10=2,0,VLOOKUP(ZRB!$F$12,Vergütungen_Stammdaten!$B$6:$AG$104,24,FALSE))</f>
        <v>0</v>
      </c>
      <c r="AE9" s="199">
        <f>IF($G$6&gt;$AB$4,0,IF($AB$5=3,0,AB9-AC9))</f>
        <v>0</v>
      </c>
      <c r="AF9" s="199">
        <f>IF($G$6&gt;$AB$4,0,IF($AB$5=3,0,AB9-AD9))</f>
        <v>0</v>
      </c>
      <c r="AG9" s="200">
        <f aca="true" t="shared" si="0" ref="AG9:AH11">Z9*AE9*$AG$7</f>
        <v>0</v>
      </c>
      <c r="AH9" s="200">
        <f t="shared" si="0"/>
        <v>0</v>
      </c>
      <c r="AI9" s="200">
        <f>AG9+AH9</f>
        <v>0</v>
      </c>
    </row>
    <row r="10" spans="1:35" ht="12.75">
      <c r="A10" s="604" t="s">
        <v>180</v>
      </c>
      <c r="B10" s="183" t="s">
        <v>116</v>
      </c>
      <c r="C10" s="184"/>
      <c r="D10" s="184"/>
      <c r="E10" s="184"/>
      <c r="F10" s="610">
        <f>Kalkulation_Eigenstrom!E17</f>
        <v>1</v>
      </c>
      <c r="G10" s="1395" t="str">
        <f>VLOOKUP($F$10,Kalkulation_Eigenstrom!$G$116:$J$117,2,FALSE)</f>
        <v>Dachanlage</v>
      </c>
      <c r="H10" s="1396"/>
      <c r="I10" s="598"/>
      <c r="J10" s="598"/>
      <c r="K10" s="1409"/>
      <c r="L10" s="1372">
        <f>VLOOKUP(ZRB!F12,Vergütungen_Stammdaten!$B$6:$AG$104,9,FALSE)</f>
        <v>40</v>
      </c>
      <c r="M10" s="1372"/>
      <c r="N10" s="198">
        <f>IF(ZRB!G6&lt;=L9,0,IF(AND(ZRB!G6&gt;L9,ZRB!G6&lt;=L10),(ZRB!G6-L9)/ZRB!G6,(L10-L9)/ZRB!G6))</f>
        <v>0</v>
      </c>
      <c r="O10" s="208">
        <f>ZRB!$G$23*N10</f>
        <v>0</v>
      </c>
      <c r="P10" s="208">
        <f>$P$13*N10</f>
        <v>0</v>
      </c>
      <c r="Q10" s="232">
        <f>IF(F10=1,VLOOKUP(ZRB!$F$12,Vergütungen_Stammdaten!$B$6:$AG$104,10,FALSE),IF(F10=2,VLOOKUP(ZRB!$F$12,Vergütungen_Stammdaten!$B$6:$AG$104,16,FALSE),0))</f>
        <v>0.124</v>
      </c>
      <c r="R10" s="228">
        <f>$G$93</f>
        <v>0.15</v>
      </c>
      <c r="S10" s="200">
        <f>P10*Q10*$S$7</f>
        <v>0</v>
      </c>
      <c r="T10" s="200">
        <f>P10*R10*$T$7</f>
        <v>0</v>
      </c>
      <c r="U10" s="200">
        <f>S10+T10</f>
        <v>0</v>
      </c>
      <c r="V10" s="246" t="s">
        <v>245</v>
      </c>
      <c r="W10" s="247">
        <f>L10</f>
        <v>40</v>
      </c>
      <c r="X10" s="198">
        <f>N10</f>
        <v>0</v>
      </c>
      <c r="Y10" s="208">
        <f>$Y$12*N10</f>
        <v>0</v>
      </c>
      <c r="Z10" s="208">
        <f>IF(O10=0,0,IF((Y10/O10)&gt;$Z$7,O10*$Z$7,Y10))</f>
        <v>0</v>
      </c>
      <c r="AA10" s="208">
        <f>IF(O10=0,0,IF((Y10/O10)&gt;$Z$7,Y10-(O10*$Z$7),0))</f>
        <v>0</v>
      </c>
      <c r="AB10" s="232">
        <f>IF(F10=2,0,VLOOKUP(ZRB!$F$12,Vergütungen_Stammdaten!$B$6:$AG$104,10,FALSE))</f>
        <v>0.124</v>
      </c>
      <c r="AC10" s="199">
        <f>AC9</f>
        <v>0</v>
      </c>
      <c r="AD10" s="199">
        <f>AD9</f>
        <v>0</v>
      </c>
      <c r="AE10" s="199">
        <f>IF($G$6&gt;$AB$4,0,IF($AB$5=3,0,AB10-AC10))</f>
        <v>0</v>
      </c>
      <c r="AF10" s="199">
        <f>IF($G$6&gt;$AB$4,0,IF($AB$5=3,0,AB10-AD10))</f>
        <v>0</v>
      </c>
      <c r="AG10" s="200">
        <f t="shared" si="0"/>
        <v>0</v>
      </c>
      <c r="AH10" s="200">
        <f t="shared" si="0"/>
        <v>0</v>
      </c>
      <c r="AI10" s="200">
        <f>AG10+AH10</f>
        <v>0</v>
      </c>
    </row>
    <row r="11" spans="1:35" ht="12.75">
      <c r="A11" s="604" t="s">
        <v>180</v>
      </c>
      <c r="B11" s="183" t="s">
        <v>0</v>
      </c>
      <c r="C11" s="184"/>
      <c r="D11" s="184"/>
      <c r="E11" s="184"/>
      <c r="F11" s="610">
        <f>Kalkulation_Eigenstrom!E19</f>
        <v>10</v>
      </c>
      <c r="G11" s="1395" t="str">
        <f>VLOOKUP($F$11,Kalkulation_Eigenstrom!$G$120:$J$131,2,FALSE)</f>
        <v>Stuttgart</v>
      </c>
      <c r="H11" s="1396"/>
      <c r="I11" s="598"/>
      <c r="J11" s="598"/>
      <c r="K11" s="1409"/>
      <c r="L11" s="1372">
        <f>VLOOKUP(ZRB!F12,Vergütungen_Stammdaten!$B$6:$AG$104,11,FALSE)</f>
        <v>1000</v>
      </c>
      <c r="M11" s="1372"/>
      <c r="N11" s="198">
        <f>IF(ZRB!G6&lt;=L10,0,IF(AND(ZRB!G6&gt;L10,ZRB!G6&lt;=L11),(ZRB!G6-L10)/ZRB!G6,(L11-L10)/ZRB!G6))</f>
        <v>0</v>
      </c>
      <c r="O11" s="208">
        <f>ZRB!$G$23*N11</f>
        <v>0</v>
      </c>
      <c r="P11" s="208">
        <f>$P$13*N11</f>
        <v>0</v>
      </c>
      <c r="Q11" s="232">
        <f>IF(F10=1,VLOOKUP(ZRB!$F$12,Vergütungen_Stammdaten!$B$6:$AG$104,12,FALSE),IF(F10=2,VLOOKUP(ZRB!$F$12,Vergütungen_Stammdaten!$B$6:$AG$104,16,FALSE),0))</f>
        <v>0.1109</v>
      </c>
      <c r="R11" s="228">
        <f>$G$93</f>
        <v>0.15</v>
      </c>
      <c r="S11" s="200">
        <f>P11*Q11*$S$7</f>
        <v>0</v>
      </c>
      <c r="T11" s="200">
        <f>P11*R11*$T$7</f>
        <v>0</v>
      </c>
      <c r="U11" s="200">
        <f>S11+T11</f>
        <v>0</v>
      </c>
      <c r="V11" s="246" t="s">
        <v>245</v>
      </c>
      <c r="W11" s="248">
        <v>500</v>
      </c>
      <c r="X11" s="198">
        <f>N11</f>
        <v>0</v>
      </c>
      <c r="Y11" s="208">
        <f>$Y$12*N11</f>
        <v>0</v>
      </c>
      <c r="Z11" s="208">
        <f>IF(O11=0,0,IF((Y11/O11)&gt;$Z$7,O11*$Z$7,Y11))</f>
        <v>0</v>
      </c>
      <c r="AA11" s="208">
        <f>IF(O11=0,0,IF((Y11/O11)&gt;$Z$7,Y11-(O11*$Z$7),0))</f>
        <v>0</v>
      </c>
      <c r="AB11" s="232">
        <f>IF(F10=2,0,VLOOKUP(ZRB!$F$12,Vergütungen_Stammdaten!$B$6:$AG$104,12,FALSE))</f>
        <v>0.1109</v>
      </c>
      <c r="AC11" s="199">
        <f>AC9</f>
        <v>0</v>
      </c>
      <c r="AD11" s="199">
        <f>AD9</f>
        <v>0</v>
      </c>
      <c r="AE11" s="199">
        <f>IF($G$6&gt;$AB$4,0,IF($AB$5=3,0,AB11-AC11))</f>
        <v>0</v>
      </c>
      <c r="AF11" s="199">
        <f>IF($G$6&gt;$AB$4,0,IF($AB$5=3,0,AB11-AD11))</f>
        <v>0</v>
      </c>
      <c r="AG11" s="200">
        <f t="shared" si="0"/>
        <v>0</v>
      </c>
      <c r="AH11" s="200">
        <f t="shared" si="0"/>
        <v>0</v>
      </c>
      <c r="AI11" s="200">
        <f>AG11+AH11</f>
        <v>0</v>
      </c>
    </row>
    <row r="12" spans="1:35" ht="12.75" customHeight="1">
      <c r="A12" s="604" t="s">
        <v>180</v>
      </c>
      <c r="B12" s="186" t="s">
        <v>115</v>
      </c>
      <c r="C12" s="188"/>
      <c r="D12" s="188"/>
      <c r="E12" s="184"/>
      <c r="F12" s="610">
        <f>Kalkulation_Eigenstrom!E21</f>
        <v>68</v>
      </c>
      <c r="G12" s="1395" t="str">
        <f>VLOOKUP(F12,Vergütungen_Stammdaten!$B$6:$AG$104,3,FALSE)</f>
        <v>August  2014</v>
      </c>
      <c r="H12" s="1396"/>
      <c r="I12" s="598"/>
      <c r="J12" s="598"/>
      <c r="K12" s="1409"/>
      <c r="L12" s="1373">
        <f>VLOOKUP(ZRB!F12,Vergütungen_Stammdaten!$B$6:$AG$104,13,FALSE)</f>
        <v>1000</v>
      </c>
      <c r="M12" s="1373"/>
      <c r="N12" s="198">
        <f>IF(L12=0,0,IF(ZRB!G6&lt;=L12,0,IF(ZRB!G6&gt;L12,(ZRB!G6-L12)/ZRB!G6)))</f>
        <v>0</v>
      </c>
      <c r="O12" s="208">
        <f>ZRB!$G$23*N12</f>
        <v>0</v>
      </c>
      <c r="P12" s="208">
        <f>$P$13*N12</f>
        <v>0</v>
      </c>
      <c r="Q12" s="232">
        <f>IF(F10=1,VLOOKUP(ZRB!$F$12,Vergütungen_Stammdaten!$B$6:$AG$104,14,FALSE),IF(F10=2,VLOOKUP(ZRB!$F$12,Vergütungen_Stammdaten!$B$6:$AG$104,16,FALSE),0))</f>
        <v>0</v>
      </c>
      <c r="R12" s="228">
        <f>$G$93</f>
        <v>0.15</v>
      </c>
      <c r="S12" s="200">
        <f>P12*Q12*$S$7</f>
        <v>0</v>
      </c>
      <c r="T12" s="200">
        <f>P12*R12*$T$7</f>
        <v>0</v>
      </c>
      <c r="U12" s="200">
        <f>S12+T12</f>
        <v>0</v>
      </c>
      <c r="V12" s="652"/>
      <c r="W12" s="653" t="str">
        <f>M13</f>
        <v> gesamt</v>
      </c>
      <c r="X12" s="654">
        <f>N13</f>
        <v>1</v>
      </c>
      <c r="Y12" s="655">
        <f>G31</f>
        <v>0</v>
      </c>
      <c r="Z12" s="655">
        <f>SUM(Z9:Z11)</f>
        <v>0</v>
      </c>
      <c r="AA12" s="655">
        <f>SUM(AA9:AA11)</f>
        <v>0</v>
      </c>
      <c r="AB12" s="650"/>
      <c r="AC12" s="651"/>
      <c r="AD12" s="651"/>
      <c r="AE12" s="651"/>
      <c r="AF12" s="651"/>
      <c r="AG12" s="651">
        <f>SUM(AG9:AG11)</f>
        <v>0</v>
      </c>
      <c r="AH12" s="651">
        <f>SUM(AH9:AH11)</f>
        <v>0</v>
      </c>
      <c r="AI12" s="651">
        <f>SUM(AI9:AI11)</f>
        <v>0</v>
      </c>
    </row>
    <row r="13" spans="1:35" ht="12.75" customHeight="1">
      <c r="A13" s="604" t="s">
        <v>180</v>
      </c>
      <c r="B13" s="186" t="str">
        <f>IF(G13=3,"Anlage nach 04/2012",IF(G13=2,"Anlage zw. 07/2010 bis 03/2012",IF(G13=1,"Anlage vor 06/2010","")))</f>
        <v>Anlage nach 04/2012</v>
      </c>
      <c r="C13" s="188"/>
      <c r="D13" s="188"/>
      <c r="E13" s="184"/>
      <c r="F13" s="166"/>
      <c r="G13" s="1361">
        <f>VLOOKUP(F12,Vergütungen_Stammdaten!$B$6:$AG$104,2,FALSE)</f>
        <v>3</v>
      </c>
      <c r="H13" s="1362"/>
      <c r="I13" s="598"/>
      <c r="J13" s="598"/>
      <c r="K13" s="1409"/>
      <c r="L13" s="202"/>
      <c r="M13" s="203" t="s">
        <v>223</v>
      </c>
      <c r="N13" s="204">
        <f>SUM(N9:N12)</f>
        <v>1</v>
      </c>
      <c r="O13" s="213">
        <f>$G$23</f>
        <v>0</v>
      </c>
      <c r="P13" s="213">
        <f>G32</f>
        <v>0</v>
      </c>
      <c r="Q13" s="233"/>
      <c r="R13" s="229"/>
      <c r="S13" s="214">
        <f>SUM(S9:S12)</f>
        <v>0</v>
      </c>
      <c r="T13" s="214">
        <f>SUM(T9:T12)</f>
        <v>0</v>
      </c>
      <c r="U13" s="214">
        <f>SUM(U9:U12)</f>
        <v>0</v>
      </c>
      <c r="V13" s="195"/>
      <c r="W13" s="196"/>
      <c r="X13" s="197"/>
      <c r="Y13" s="197">
        <f>G31</f>
        <v>0</v>
      </c>
      <c r="Z13" s="1374">
        <f>Z12+AA12</f>
        <v>0</v>
      </c>
      <c r="AA13" s="1375"/>
      <c r="AB13" s="215"/>
      <c r="AC13" s="215"/>
      <c r="AD13" s="195"/>
      <c r="AE13" s="195"/>
      <c r="AF13" s="195"/>
      <c r="AG13" s="1374">
        <f>AG12+AH12</f>
        <v>0</v>
      </c>
      <c r="AH13" s="1375"/>
      <c r="AI13" s="215"/>
    </row>
    <row r="14" spans="1:35" ht="12.75" customHeight="1">
      <c r="A14" s="604" t="s">
        <v>180</v>
      </c>
      <c r="B14" s="183" t="s">
        <v>120</v>
      </c>
      <c r="C14" s="184"/>
      <c r="D14" s="184"/>
      <c r="E14" s="184"/>
      <c r="F14" s="184"/>
      <c r="G14" s="1399">
        <f>VLOOKUP(F12,Vergütungen_Stammdaten!$B$6:$AG$104,26,FALSE)</f>
        <v>0</v>
      </c>
      <c r="H14" s="1400"/>
      <c r="I14" s="598"/>
      <c r="J14" s="598"/>
      <c r="K14" s="1410"/>
      <c r="L14" s="195"/>
      <c r="M14" s="196" t="s">
        <v>213</v>
      </c>
      <c r="N14" s="611"/>
      <c r="O14" s="197">
        <f>SUM(O9:O12)</f>
        <v>0</v>
      </c>
      <c r="P14" s="197">
        <f>SUM(P9:P12)</f>
        <v>0</v>
      </c>
      <c r="Q14" s="215"/>
      <c r="R14" s="215"/>
      <c r="S14" s="1374">
        <f>S13+T13</f>
        <v>0</v>
      </c>
      <c r="T14" s="1375"/>
      <c r="U14" s="243"/>
      <c r="V14" s="612"/>
      <c r="W14" s="598"/>
      <c r="X14" s="612"/>
      <c r="Y14" s="612"/>
      <c r="Z14" s="612"/>
      <c r="AA14" s="598"/>
      <c r="AB14" s="613">
        <f>IF(O13=0,0,Z12/O13)</f>
        <v>0</v>
      </c>
      <c r="AC14" s="613">
        <f>IF(O13=0,0,AA12/O13)</f>
        <v>0</v>
      </c>
      <c r="AD14" s="612"/>
      <c r="AE14" s="598"/>
      <c r="AF14" s="612"/>
      <c r="AG14" s="598"/>
      <c r="AH14" s="598"/>
      <c r="AI14" s="612"/>
    </row>
    <row r="15" spans="1:35" ht="12.75" customHeight="1">
      <c r="A15" s="604" t="s">
        <v>180</v>
      </c>
      <c r="B15" s="186" t="s">
        <v>182</v>
      </c>
      <c r="C15" s="188"/>
      <c r="D15" s="188"/>
      <c r="E15" s="184"/>
      <c r="F15" s="187"/>
      <c r="G15" s="1361">
        <f>A154</f>
        <v>11</v>
      </c>
      <c r="H15" s="1362"/>
      <c r="I15" s="598"/>
      <c r="J15" s="598"/>
      <c r="K15" s="598"/>
      <c r="L15" s="216"/>
      <c r="M15" s="216"/>
      <c r="N15" s="217"/>
      <c r="O15" s="218"/>
      <c r="P15" s="219"/>
      <c r="Q15" s="220"/>
      <c r="R15" s="221"/>
      <c r="S15" s="222"/>
      <c r="T15" s="223"/>
      <c r="U15" s="224"/>
      <c r="V15" s="612"/>
      <c r="W15" s="598"/>
      <c r="X15" s="612"/>
      <c r="Y15" s="612"/>
      <c r="Z15" s="612"/>
      <c r="AA15" s="598"/>
      <c r="AB15" s="1365">
        <f>AB14+AC14</f>
        <v>0</v>
      </c>
      <c r="AC15" s="1366"/>
      <c r="AD15" s="614"/>
      <c r="AE15" s="598"/>
      <c r="AF15" s="612"/>
      <c r="AG15" s="598"/>
      <c r="AH15" s="598"/>
      <c r="AI15" s="598"/>
    </row>
    <row r="16" spans="1:35" ht="49.5" customHeight="1">
      <c r="A16" s="604" t="s">
        <v>180</v>
      </c>
      <c r="B16" s="1401" t="str">
        <f>VLOOKUP(G15,C155:F170,4,FALSE)</f>
        <v>Ab 04/2012 entfällt die Förderung der Eigenstromnutzung durch das EEG. Bei Dachanlagen von 10 - 1.000 kWp wird  darüber hinaus eine "Mindesteigenstromnutzung" von 10% gefordert (Die Einspeisevergütung wurde beschränkt auf 90% des erzeugten Stroms; Marktintegrationsmodell EEG)</v>
      </c>
      <c r="C16" s="1402"/>
      <c r="D16" s="1402"/>
      <c r="E16" s="1402"/>
      <c r="F16" s="1402"/>
      <c r="G16" s="1402"/>
      <c r="H16" s="1403"/>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603"/>
      <c r="AH16" s="603"/>
      <c r="AI16" s="598"/>
    </row>
    <row r="17" spans="1:35" ht="12.75">
      <c r="A17" s="604" t="s">
        <v>180</v>
      </c>
      <c r="B17" s="186" t="s">
        <v>181</v>
      </c>
      <c r="C17" s="188"/>
      <c r="D17" s="188"/>
      <c r="E17" s="184"/>
      <c r="F17" s="187"/>
      <c r="G17" s="1361">
        <f>B154</f>
        <v>0</v>
      </c>
      <c r="H17" s="1362"/>
      <c r="I17" s="598"/>
      <c r="J17" s="598"/>
      <c r="K17" s="1367">
        <v>0.01</v>
      </c>
      <c r="L17" s="235" t="s">
        <v>220</v>
      </c>
      <c r="M17" s="193"/>
      <c r="N17" s="193"/>
      <c r="O17" s="205" t="s">
        <v>125</v>
      </c>
      <c r="P17" s="206" t="s">
        <v>222</v>
      </c>
      <c r="Q17" s="230" t="s">
        <v>5</v>
      </c>
      <c r="R17" s="226" t="s">
        <v>232</v>
      </c>
      <c r="S17" s="212" t="s">
        <v>129</v>
      </c>
      <c r="T17" s="212" t="s">
        <v>129</v>
      </c>
      <c r="U17" s="212" t="s">
        <v>211</v>
      </c>
      <c r="V17" s="235" t="s">
        <v>229</v>
      </c>
      <c r="W17" s="193"/>
      <c r="X17" s="193"/>
      <c r="Y17" s="206" t="s">
        <v>212</v>
      </c>
      <c r="Z17" s="206" t="s">
        <v>212</v>
      </c>
      <c r="AA17" s="206" t="s">
        <v>212</v>
      </c>
      <c r="AB17" s="230" t="s">
        <v>231</v>
      </c>
      <c r="AC17" s="211" t="s">
        <v>233</v>
      </c>
      <c r="AD17" s="211" t="s">
        <v>233</v>
      </c>
      <c r="AE17" s="211" t="s">
        <v>5</v>
      </c>
      <c r="AF17" s="211" t="s">
        <v>5</v>
      </c>
      <c r="AG17" s="242" t="s">
        <v>129</v>
      </c>
      <c r="AH17" s="242" t="s">
        <v>129</v>
      </c>
      <c r="AI17" s="212" t="s">
        <v>211</v>
      </c>
    </row>
    <row r="18" spans="1:35" ht="12.75">
      <c r="A18" s="604" t="s">
        <v>180</v>
      </c>
      <c r="B18" s="186" t="s">
        <v>118</v>
      </c>
      <c r="C18" s="188"/>
      <c r="D18" s="188"/>
      <c r="E18" s="184"/>
      <c r="F18" s="184"/>
      <c r="G18" s="1404">
        <f>Kalkulation_Eigenstrom!L25</f>
        <v>930</v>
      </c>
      <c r="H18" s="1405"/>
      <c r="I18" s="598"/>
      <c r="J18" s="598"/>
      <c r="K18" s="1368"/>
      <c r="L18" s="193"/>
      <c r="M18" s="193"/>
      <c r="N18" s="194"/>
      <c r="O18" s="205" t="s">
        <v>211</v>
      </c>
      <c r="P18" s="207" t="s">
        <v>221</v>
      </c>
      <c r="Q18" s="605" t="str">
        <f>$Q$7</f>
        <v>0-20Jahre</v>
      </c>
      <c r="R18" s="606" t="str">
        <f>$R$7</f>
        <v>21-20 Jahre</v>
      </c>
      <c r="S18" s="607">
        <f>$S$7</f>
        <v>1</v>
      </c>
      <c r="T18" s="607">
        <f>$T$7</f>
        <v>0</v>
      </c>
      <c r="U18" s="608" t="str">
        <f>$U$7</f>
        <v>0-20 Jahre</v>
      </c>
      <c r="V18" s="193"/>
      <c r="W18" s="193"/>
      <c r="X18" s="194"/>
      <c r="Y18" s="209" t="s">
        <v>211</v>
      </c>
      <c r="Z18" s="237">
        <f>$Z$7</f>
        <v>0.3</v>
      </c>
      <c r="AA18" s="238">
        <f>Z18</f>
        <v>0.3</v>
      </c>
      <c r="AB18" s="605" t="str">
        <f>"0-"&amp;G101&amp;"Jahre"</f>
        <v>0-0,231851439796571Jahre</v>
      </c>
      <c r="AC18" s="609" t="str">
        <f>"bis "&amp;Z18*100&amp;"%"</f>
        <v>bis 30%</v>
      </c>
      <c r="AD18" s="609" t="str">
        <f>"über "&amp;AA18*100&amp;"%"</f>
        <v>über 30%</v>
      </c>
      <c r="AE18" s="609" t="str">
        <f>"bis "&amp;Z18*100&amp;"%"</f>
        <v>bis 30%</v>
      </c>
      <c r="AF18" s="609" t="str">
        <f>"über "&amp;AA18*100&amp;"%"</f>
        <v>über 30%</v>
      </c>
      <c r="AG18" s="1370">
        <f>$AG$7</f>
        <v>1</v>
      </c>
      <c r="AH18" s="1371"/>
      <c r="AI18" s="609" t="str">
        <f>$AI$7</f>
        <v>0-20 Jahre</v>
      </c>
    </row>
    <row r="19" spans="1:35" ht="12.75">
      <c r="A19" s="604" t="s">
        <v>180</v>
      </c>
      <c r="B19" s="183" t="s">
        <v>117</v>
      </c>
      <c r="C19" s="184"/>
      <c r="D19" s="184"/>
      <c r="E19" s="184"/>
      <c r="F19" s="184"/>
      <c r="G19" s="1393">
        <f>$G$6*$G$18</f>
        <v>0</v>
      </c>
      <c r="H19" s="1394"/>
      <c r="I19" s="598"/>
      <c r="J19" s="598"/>
      <c r="K19" s="1368"/>
      <c r="L19" s="193" t="str">
        <f>$L$8</f>
        <v>Dachanlage</v>
      </c>
      <c r="M19" s="193"/>
      <c r="N19" s="194" t="s">
        <v>110</v>
      </c>
      <c r="O19" s="205" t="s">
        <v>126</v>
      </c>
      <c r="P19" s="205" t="s">
        <v>126</v>
      </c>
      <c r="Q19" s="231" t="s">
        <v>128</v>
      </c>
      <c r="R19" s="227" t="s">
        <v>128</v>
      </c>
      <c r="S19" s="201" t="s">
        <v>130</v>
      </c>
      <c r="T19" s="201" t="s">
        <v>130</v>
      </c>
      <c r="U19" s="201" t="s">
        <v>130</v>
      </c>
      <c r="V19" s="241"/>
      <c r="W19" s="193"/>
      <c r="X19" s="194" t="str">
        <f>N19</f>
        <v>Anteile</v>
      </c>
      <c r="Y19" s="210" t="s">
        <v>126</v>
      </c>
      <c r="Z19" s="210" t="s">
        <v>126</v>
      </c>
      <c r="AA19" s="210" t="s">
        <v>126</v>
      </c>
      <c r="AB19" s="231" t="s">
        <v>128</v>
      </c>
      <c r="AC19" s="231" t="s">
        <v>128</v>
      </c>
      <c r="AD19" s="231" t="s">
        <v>128</v>
      </c>
      <c r="AE19" s="231" t="s">
        <v>128</v>
      </c>
      <c r="AF19" s="231" t="s">
        <v>128</v>
      </c>
      <c r="AG19" s="201" t="s">
        <v>130</v>
      </c>
      <c r="AH19" s="201" t="s">
        <v>130</v>
      </c>
      <c r="AI19" s="201" t="s">
        <v>130</v>
      </c>
    </row>
    <row r="20" spans="1:35" ht="12.75">
      <c r="A20" s="604" t="s">
        <v>180</v>
      </c>
      <c r="B20" s="183" t="s">
        <v>273</v>
      </c>
      <c r="C20" s="184"/>
      <c r="D20" s="184"/>
      <c r="E20" s="184"/>
      <c r="F20" s="184"/>
      <c r="G20" s="1389">
        <f>Kalkulation_Eigenstrom!M27</f>
        <v>0.005</v>
      </c>
      <c r="H20" s="1390"/>
      <c r="I20" s="598"/>
      <c r="J20" s="598"/>
      <c r="K20" s="1368"/>
      <c r="L20" s="1372">
        <f>$L$9</f>
        <v>10</v>
      </c>
      <c r="M20" s="1372"/>
      <c r="N20" s="198">
        <f>$N$9</f>
        <v>1</v>
      </c>
      <c r="O20" s="208">
        <f>$O$9</f>
        <v>0</v>
      </c>
      <c r="P20" s="208">
        <f>P24*N20</f>
        <v>0</v>
      </c>
      <c r="Q20" s="232">
        <f>$Q$9</f>
        <v>0.1275</v>
      </c>
      <c r="R20" s="228">
        <f>$R$9</f>
        <v>0.15</v>
      </c>
      <c r="S20" s="200">
        <f>P20*Q20*S18</f>
        <v>0</v>
      </c>
      <c r="T20" s="200">
        <f>P20*R20*T18</f>
        <v>0</v>
      </c>
      <c r="U20" s="200">
        <f>S20+T20</f>
        <v>0</v>
      </c>
      <c r="V20" s="246" t="s">
        <v>245</v>
      </c>
      <c r="W20" s="247">
        <f>L20</f>
        <v>10</v>
      </c>
      <c r="X20" s="198">
        <f>N20</f>
        <v>1</v>
      </c>
      <c r="Y20" s="208">
        <f>Y23*N20</f>
        <v>0</v>
      </c>
      <c r="Z20" s="208">
        <f>IF(O20=0,0,IF((Y20/O20)&gt;Z18,O20*Z18,Y20))</f>
        <v>0</v>
      </c>
      <c r="AA20" s="208">
        <f>IF(O20=0,0,IF((Y20/O20)&gt;Z18,Y20-(O20*Z18),0))</f>
        <v>0</v>
      </c>
      <c r="AB20" s="232">
        <f>$AB$9</f>
        <v>0.1275</v>
      </c>
      <c r="AC20" s="199">
        <f>$AC$9</f>
        <v>0</v>
      </c>
      <c r="AD20" s="199">
        <f>$AD$9</f>
        <v>0</v>
      </c>
      <c r="AE20" s="199">
        <f>IF($G$6&gt;$AB$4,0,IF($AB$5=3,0,AB20-AC20))</f>
        <v>0</v>
      </c>
      <c r="AF20" s="199">
        <f>IF($G$6&gt;$AB$4,0,IF($AB$5=3,0,AB20-AD20))</f>
        <v>0</v>
      </c>
      <c r="AG20" s="200">
        <f>Z20*AE20*AG18</f>
        <v>0</v>
      </c>
      <c r="AH20" s="200">
        <f>AA20*AF20*AG18</f>
        <v>0</v>
      </c>
      <c r="AI20" s="200">
        <f>AG20+AH20</f>
        <v>0</v>
      </c>
    </row>
    <row r="21" spans="1:35" ht="12.75">
      <c r="A21" s="604" t="s">
        <v>180</v>
      </c>
      <c r="B21" s="183" t="s">
        <v>209</v>
      </c>
      <c r="C21" s="184"/>
      <c r="D21" s="184"/>
      <c r="E21" s="184"/>
      <c r="F21" s="184"/>
      <c r="G21" s="1406">
        <f>Kalkulation_Eigenstrom!AN41</f>
        <v>20</v>
      </c>
      <c r="H21" s="1407"/>
      <c r="I21" s="598"/>
      <c r="J21" s="598"/>
      <c r="K21" s="1368"/>
      <c r="L21" s="1372">
        <f>$L$10</f>
        <v>40</v>
      </c>
      <c r="M21" s="1372"/>
      <c r="N21" s="198">
        <f>$N$10</f>
        <v>0</v>
      </c>
      <c r="O21" s="208">
        <f>$O$10</f>
        <v>0</v>
      </c>
      <c r="P21" s="208">
        <f>P24*N21</f>
        <v>0</v>
      </c>
      <c r="Q21" s="232">
        <f>$Q$10</f>
        <v>0.124</v>
      </c>
      <c r="R21" s="228">
        <f>$R$10</f>
        <v>0.15</v>
      </c>
      <c r="S21" s="200">
        <f>P21*Q21*S18</f>
        <v>0</v>
      </c>
      <c r="T21" s="200">
        <f>P21*R21*T18</f>
        <v>0</v>
      </c>
      <c r="U21" s="200">
        <f>S21+T21</f>
        <v>0</v>
      </c>
      <c r="V21" s="246" t="s">
        <v>245</v>
      </c>
      <c r="W21" s="247">
        <f>L21</f>
        <v>40</v>
      </c>
      <c r="X21" s="198">
        <f>N21</f>
        <v>0</v>
      </c>
      <c r="Y21" s="208">
        <f>Y23*N21</f>
        <v>0</v>
      </c>
      <c r="Z21" s="208">
        <f>IF(O21=0,0,IF((Y21/O21)&gt;Z18,O21*Z18,Y21))</f>
        <v>0</v>
      </c>
      <c r="AA21" s="208">
        <f>IF(O21=0,0,IF((Y21/O21)&gt;Z18,Y21-(O21*Z18),0))</f>
        <v>0</v>
      </c>
      <c r="AB21" s="232">
        <f>$AB$10</f>
        <v>0.124</v>
      </c>
      <c r="AC21" s="199">
        <f>$AC$10</f>
        <v>0</v>
      </c>
      <c r="AD21" s="199">
        <f>$AD$10</f>
        <v>0</v>
      </c>
      <c r="AE21" s="199">
        <f>IF($G$6&gt;$AB$4,0,IF($AB$5=3,0,AB21-AC21))</f>
        <v>0</v>
      </c>
      <c r="AF21" s="199">
        <f>IF($G$6&gt;$AB$4,0,IF($AB$5=3,0,AB21-AD21))</f>
        <v>0</v>
      </c>
      <c r="AG21" s="200">
        <f>Z21*AE21*AG18</f>
        <v>0</v>
      </c>
      <c r="AH21" s="200">
        <f>AA21*AF21*AG18</f>
        <v>0</v>
      </c>
      <c r="AI21" s="200">
        <f>AG21+AH21</f>
        <v>0</v>
      </c>
    </row>
    <row r="22" spans="1:35" ht="12.75">
      <c r="A22" s="604" t="s">
        <v>180</v>
      </c>
      <c r="B22" s="183" t="str">
        <f>"Ertrag im "&amp;G21&amp;". Jahr"</f>
        <v>Ertrag im 20. Jahr</v>
      </c>
      <c r="C22" s="184"/>
      <c r="D22" s="184"/>
      <c r="E22" s="184"/>
      <c r="F22" s="184"/>
      <c r="G22" s="1393">
        <f>POWER((1-$G$20),G21-1)*G19</f>
        <v>0</v>
      </c>
      <c r="H22" s="1394"/>
      <c r="I22" s="598"/>
      <c r="J22" s="598"/>
      <c r="K22" s="1368"/>
      <c r="L22" s="1372">
        <f>$L$11</f>
        <v>1000</v>
      </c>
      <c r="M22" s="1372"/>
      <c r="N22" s="198">
        <f>$N$11</f>
        <v>0</v>
      </c>
      <c r="O22" s="208">
        <f>$O$11</f>
        <v>0</v>
      </c>
      <c r="P22" s="208">
        <f>P24*N22</f>
        <v>0</v>
      </c>
      <c r="Q22" s="232">
        <f>$Q$11</f>
        <v>0.1109</v>
      </c>
      <c r="R22" s="228">
        <f>$R$11</f>
        <v>0.15</v>
      </c>
      <c r="S22" s="200">
        <f>P22*Q22*S18</f>
        <v>0</v>
      </c>
      <c r="T22" s="200">
        <f>P22*R22*T18</f>
        <v>0</v>
      </c>
      <c r="U22" s="200">
        <f>S22+T22</f>
        <v>0</v>
      </c>
      <c r="V22" s="246" t="s">
        <v>245</v>
      </c>
      <c r="W22" s="248">
        <v>500</v>
      </c>
      <c r="X22" s="198">
        <f>N22</f>
        <v>0</v>
      </c>
      <c r="Y22" s="208">
        <f>Y23*N22</f>
        <v>0</v>
      </c>
      <c r="Z22" s="208">
        <f>IF(O22=0,0,IF((Y22/O22)&gt;Z18,O22*Z18,Y22))</f>
        <v>0</v>
      </c>
      <c r="AA22" s="208">
        <f>IF(O22=0,0,IF((Y22/O22)&gt;Z18,Y22-(O22*Z18),0))</f>
        <v>0</v>
      </c>
      <c r="AB22" s="232">
        <f>$AB$11</f>
        <v>0.1109</v>
      </c>
      <c r="AC22" s="199">
        <f>$AC$11</f>
        <v>0</v>
      </c>
      <c r="AD22" s="199">
        <f>$AD$11</f>
        <v>0</v>
      </c>
      <c r="AE22" s="199">
        <f>IF($G$6&gt;$AB$4,0,IF($AB$5=3,0,AB22-AC22))</f>
        <v>0</v>
      </c>
      <c r="AF22" s="199">
        <f>IF($G$6&gt;$AB$4,0,IF($AB$5=3,0,AB22-AD22))</f>
        <v>0</v>
      </c>
      <c r="AG22" s="200">
        <f>Z22*AE22*AG18</f>
        <v>0</v>
      </c>
      <c r="AH22" s="200">
        <f>AA22*AF22*AG18</f>
        <v>0</v>
      </c>
      <c r="AI22" s="200">
        <f>AG22+AH22</f>
        <v>0</v>
      </c>
    </row>
    <row r="23" spans="1:35" ht="12.75">
      <c r="A23" s="604" t="s">
        <v>180</v>
      </c>
      <c r="B23" s="183" t="s">
        <v>111</v>
      </c>
      <c r="C23" s="184"/>
      <c r="D23" s="184"/>
      <c r="E23" s="184"/>
      <c r="F23" s="184"/>
      <c r="G23" s="1393">
        <f>(G19+G22)/2</f>
        <v>0</v>
      </c>
      <c r="H23" s="1394"/>
      <c r="I23" s="598"/>
      <c r="J23" s="598"/>
      <c r="K23" s="1368"/>
      <c r="L23" s="1373">
        <f>$L$12</f>
        <v>1000</v>
      </c>
      <c r="M23" s="1373"/>
      <c r="N23" s="198">
        <f>$N$12</f>
        <v>0</v>
      </c>
      <c r="O23" s="208">
        <f>$O$12</f>
        <v>0</v>
      </c>
      <c r="P23" s="208">
        <f>P24*N23</f>
        <v>0</v>
      </c>
      <c r="Q23" s="232">
        <f>$Q$12</f>
        <v>0</v>
      </c>
      <c r="R23" s="228">
        <f>$R$12</f>
        <v>0.15</v>
      </c>
      <c r="S23" s="200">
        <f>P23*Q23*S18</f>
        <v>0</v>
      </c>
      <c r="T23" s="200">
        <f>P23*R23*T18</f>
        <v>0</v>
      </c>
      <c r="U23" s="200">
        <f>S23+T23</f>
        <v>0</v>
      </c>
      <c r="V23" s="202"/>
      <c r="W23" s="203" t="str">
        <f>M24</f>
        <v> gesamt</v>
      </c>
      <c r="X23" s="204">
        <f>N24</f>
        <v>1</v>
      </c>
      <c r="Y23" s="213">
        <f>O24-P24</f>
        <v>0</v>
      </c>
      <c r="Z23" s="213">
        <f>SUM(Z20:Z22)</f>
        <v>0</v>
      </c>
      <c r="AA23" s="213">
        <f>SUM(AA20:AA22)</f>
        <v>0</v>
      </c>
      <c r="AB23" s="233"/>
      <c r="AC23" s="234"/>
      <c r="AD23" s="214"/>
      <c r="AE23" s="214"/>
      <c r="AF23" s="214"/>
      <c r="AG23" s="214">
        <f>SUM(AG20:AG22)</f>
        <v>0</v>
      </c>
      <c r="AH23" s="214">
        <f>SUM(AH20:AH22)</f>
        <v>0</v>
      </c>
      <c r="AI23" s="234">
        <f>SUM(AI20:AI22)</f>
        <v>0</v>
      </c>
    </row>
    <row r="24" spans="1:35" ht="12.75">
      <c r="A24" s="598"/>
      <c r="B24" s="598"/>
      <c r="C24" s="598"/>
      <c r="D24" s="598"/>
      <c r="E24" s="598"/>
      <c r="F24" s="598"/>
      <c r="G24" s="598"/>
      <c r="H24" s="598"/>
      <c r="I24" s="598"/>
      <c r="J24" s="598"/>
      <c r="K24" s="1368"/>
      <c r="L24" s="202"/>
      <c r="M24" s="203" t="s">
        <v>223</v>
      </c>
      <c r="N24" s="204">
        <f>SUM(N20:N23)</f>
        <v>1</v>
      </c>
      <c r="O24" s="213">
        <f>$O$13</f>
        <v>0</v>
      </c>
      <c r="P24" s="213">
        <f>O24*(1-K17)</f>
        <v>0</v>
      </c>
      <c r="Q24" s="233"/>
      <c r="R24" s="229"/>
      <c r="S24" s="214">
        <f>SUM(S20:S23)</f>
        <v>0</v>
      </c>
      <c r="T24" s="214">
        <f>SUM(T20:T23)</f>
        <v>0</v>
      </c>
      <c r="U24" s="214">
        <f>SUM(U20:U23)</f>
        <v>0</v>
      </c>
      <c r="V24" s="195"/>
      <c r="W24" s="196"/>
      <c r="X24" s="197"/>
      <c r="Y24" s="197"/>
      <c r="Z24" s="1374">
        <f>Z23+AA23</f>
        <v>0</v>
      </c>
      <c r="AA24" s="1375"/>
      <c r="AB24" s="215"/>
      <c r="AC24" s="215"/>
      <c r="AD24" s="195"/>
      <c r="AE24" s="195"/>
      <c r="AF24" s="195"/>
      <c r="AG24" s="1374">
        <f>AG23+AH23</f>
        <v>0</v>
      </c>
      <c r="AH24" s="1375"/>
      <c r="AI24" s="215"/>
    </row>
    <row r="25" spans="1:35" ht="12.75">
      <c r="A25" s="604" t="s">
        <v>180</v>
      </c>
      <c r="B25" s="186" t="s">
        <v>206</v>
      </c>
      <c r="C25" s="188"/>
      <c r="D25" s="188"/>
      <c r="E25" s="184"/>
      <c r="F25" s="185"/>
      <c r="G25" s="1387">
        <f>IF(F10=2,0,VLOOKUP(F12,Vergütungen_Stammdaten!$B$6:$AG$104,28,FALSE))</f>
        <v>0</v>
      </c>
      <c r="H25" s="1388"/>
      <c r="I25" s="598"/>
      <c r="J25" s="598"/>
      <c r="K25" s="1369"/>
      <c r="L25" s="195"/>
      <c r="M25" s="196" t="s">
        <v>213</v>
      </c>
      <c r="N25" s="611"/>
      <c r="O25" s="197">
        <f>SUM(O20:O23)</f>
        <v>0</v>
      </c>
      <c r="P25" s="197">
        <f>SUM(P20:P23)</f>
        <v>0</v>
      </c>
      <c r="Q25" s="215"/>
      <c r="R25" s="215"/>
      <c r="S25" s="1374">
        <f>S24+T24</f>
        <v>0</v>
      </c>
      <c r="T25" s="1375"/>
      <c r="U25" s="243"/>
      <c r="V25" s="612"/>
      <c r="W25" s="598"/>
      <c r="X25" s="612"/>
      <c r="Y25" s="612"/>
      <c r="Z25" s="612"/>
      <c r="AA25" s="598"/>
      <c r="AB25" s="613">
        <f>IF(O24=0,0,Z23/O24)</f>
        <v>0</v>
      </c>
      <c r="AC25" s="613">
        <f>IF(O24=0,0,AA23/O24)</f>
        <v>0</v>
      </c>
      <c r="AD25" s="612"/>
      <c r="AE25" s="598"/>
      <c r="AF25" s="612"/>
      <c r="AG25" s="598"/>
      <c r="AH25" s="598"/>
      <c r="AI25" s="612"/>
    </row>
    <row r="26" spans="1:35" ht="12.75">
      <c r="A26" s="604" t="s">
        <v>180</v>
      </c>
      <c r="B26" s="186" t="s">
        <v>207</v>
      </c>
      <c r="C26" s="184"/>
      <c r="D26" s="184"/>
      <c r="E26" s="184"/>
      <c r="F26" s="184"/>
      <c r="G26" s="1387">
        <f>IF(F10=2,0,VLOOKUP(F12,Vergütungen_Stammdaten!$B$6:$AG$104,30,FALSE))</f>
        <v>0</v>
      </c>
      <c r="H26" s="1388"/>
      <c r="I26" s="598"/>
      <c r="J26" s="598"/>
      <c r="K26" s="598"/>
      <c r="L26" s="216"/>
      <c r="M26" s="216"/>
      <c r="N26" s="217"/>
      <c r="O26" s="218"/>
      <c r="P26" s="219"/>
      <c r="Q26" s="220"/>
      <c r="R26" s="221"/>
      <c r="S26" s="222"/>
      <c r="T26" s="223"/>
      <c r="U26" s="224"/>
      <c r="V26" s="612"/>
      <c r="W26" s="598"/>
      <c r="X26" s="612"/>
      <c r="Y26" s="612"/>
      <c r="Z26" s="612"/>
      <c r="AA26" s="598"/>
      <c r="AB26" s="1365">
        <f>AB25+AC25</f>
        <v>0</v>
      </c>
      <c r="AC26" s="1366"/>
      <c r="AD26" s="614"/>
      <c r="AE26" s="598"/>
      <c r="AF26" s="612"/>
      <c r="AG26" s="598"/>
      <c r="AH26" s="598"/>
      <c r="AI26" s="598"/>
    </row>
    <row r="27" spans="1:35" ht="12.75">
      <c r="A27" s="604" t="s">
        <v>180</v>
      </c>
      <c r="B27" s="186" t="s">
        <v>219</v>
      </c>
      <c r="C27" s="184"/>
      <c r="D27" s="184"/>
      <c r="E27" s="184"/>
      <c r="F27" s="184"/>
      <c r="G27" s="1387">
        <f>IF(F10=2,0,VLOOKUP(F12,Vergütungen_Stammdaten!$B$6:$AG$104,32,FALSE))</f>
        <v>0</v>
      </c>
      <c r="H27" s="138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603"/>
      <c r="AH27" s="603"/>
      <c r="AI27" s="598"/>
    </row>
    <row r="28" spans="1:35" ht="12.75">
      <c r="A28" s="604" t="s">
        <v>180</v>
      </c>
      <c r="B28" s="186" t="s">
        <v>208</v>
      </c>
      <c r="C28" s="188"/>
      <c r="D28" s="188"/>
      <c r="E28" s="184"/>
      <c r="F28" s="185"/>
      <c r="G28" s="1387">
        <f>IF(G6&lt;=10,G25,IF(G6&gt;1000,G27,G26))</f>
        <v>0</v>
      </c>
      <c r="H28" s="1388"/>
      <c r="I28" s="598"/>
      <c r="J28" s="598"/>
      <c r="K28" s="1367">
        <v>0.05</v>
      </c>
      <c r="L28" s="235" t="s">
        <v>220</v>
      </c>
      <c r="M28" s="193"/>
      <c r="N28" s="193"/>
      <c r="O28" s="205" t="s">
        <v>125</v>
      </c>
      <c r="P28" s="206" t="s">
        <v>222</v>
      </c>
      <c r="Q28" s="230" t="s">
        <v>5</v>
      </c>
      <c r="R28" s="226" t="s">
        <v>232</v>
      </c>
      <c r="S28" s="212" t="s">
        <v>129</v>
      </c>
      <c r="T28" s="212" t="s">
        <v>129</v>
      </c>
      <c r="U28" s="212" t="s">
        <v>211</v>
      </c>
      <c r="V28" s="235" t="s">
        <v>229</v>
      </c>
      <c r="W28" s="193"/>
      <c r="X28" s="193"/>
      <c r="Y28" s="206" t="s">
        <v>212</v>
      </c>
      <c r="Z28" s="206" t="s">
        <v>212</v>
      </c>
      <c r="AA28" s="206" t="s">
        <v>212</v>
      </c>
      <c r="AB28" s="230" t="s">
        <v>231</v>
      </c>
      <c r="AC28" s="211" t="s">
        <v>233</v>
      </c>
      <c r="AD28" s="211" t="s">
        <v>233</v>
      </c>
      <c r="AE28" s="211" t="s">
        <v>5</v>
      </c>
      <c r="AF28" s="211" t="s">
        <v>5</v>
      </c>
      <c r="AG28" s="242" t="s">
        <v>129</v>
      </c>
      <c r="AH28" s="242" t="s">
        <v>129</v>
      </c>
      <c r="AI28" s="212" t="s">
        <v>211</v>
      </c>
    </row>
    <row r="29" spans="1:35" ht="12.75">
      <c r="A29" s="604" t="s">
        <v>180</v>
      </c>
      <c r="B29" s="186" t="s">
        <v>123</v>
      </c>
      <c r="C29" s="188"/>
      <c r="D29" s="188"/>
      <c r="E29" s="184"/>
      <c r="F29" s="184"/>
      <c r="G29" s="1393">
        <f>$G$23*$G$28</f>
        <v>0</v>
      </c>
      <c r="H29" s="1394"/>
      <c r="I29" s="598"/>
      <c r="J29" s="598"/>
      <c r="K29" s="1368"/>
      <c r="L29" s="193"/>
      <c r="M29" s="193"/>
      <c r="N29" s="194"/>
      <c r="O29" s="205" t="s">
        <v>211</v>
      </c>
      <c r="P29" s="207" t="s">
        <v>221</v>
      </c>
      <c r="Q29" s="605" t="str">
        <f>$Q$7</f>
        <v>0-20Jahre</v>
      </c>
      <c r="R29" s="606" t="str">
        <f>$R$7</f>
        <v>21-20 Jahre</v>
      </c>
      <c r="S29" s="607">
        <f>$S$7</f>
        <v>1</v>
      </c>
      <c r="T29" s="607">
        <f>$T$7</f>
        <v>0</v>
      </c>
      <c r="U29" s="608" t="str">
        <f>$U$7</f>
        <v>0-20 Jahre</v>
      </c>
      <c r="V29" s="193"/>
      <c r="W29" s="193"/>
      <c r="X29" s="194"/>
      <c r="Y29" s="209" t="s">
        <v>211</v>
      </c>
      <c r="Z29" s="237">
        <f>$Z$7</f>
        <v>0.3</v>
      </c>
      <c r="AA29" s="238">
        <f>Z29</f>
        <v>0.3</v>
      </c>
      <c r="AB29" s="605" t="str">
        <f>"0-"&amp;G101&amp;"Jahre"</f>
        <v>0-0,231851439796571Jahre</v>
      </c>
      <c r="AC29" s="609" t="str">
        <f>"bis "&amp;Z29*100&amp;"%"</f>
        <v>bis 30%</v>
      </c>
      <c r="AD29" s="609" t="str">
        <f>"über "&amp;AA29*100&amp;"%"</f>
        <v>über 30%</v>
      </c>
      <c r="AE29" s="609" t="str">
        <f>"bis "&amp;Z29*100&amp;"%"</f>
        <v>bis 30%</v>
      </c>
      <c r="AF29" s="609" t="str">
        <f>"über "&amp;AA29*100&amp;"%"</f>
        <v>über 30%</v>
      </c>
      <c r="AG29" s="1370">
        <f>$AG$7</f>
        <v>1</v>
      </c>
      <c r="AH29" s="1371"/>
      <c r="AI29" s="609" t="str">
        <f>$AI$7</f>
        <v>0-20 Jahre</v>
      </c>
    </row>
    <row r="30" spans="1:35" ht="12.75">
      <c r="A30" s="604" t="s">
        <v>180</v>
      </c>
      <c r="B30" s="186" t="s">
        <v>275</v>
      </c>
      <c r="C30" s="188"/>
      <c r="D30" s="188"/>
      <c r="E30" s="184"/>
      <c r="F30" s="610">
        <f>Kalkulation_Eigenstrom!BD25</f>
        <v>30</v>
      </c>
      <c r="G30" s="1393">
        <f>G23/100*F30</f>
        <v>0</v>
      </c>
      <c r="H30" s="1394"/>
      <c r="I30" s="598"/>
      <c r="J30" s="598"/>
      <c r="K30" s="1368"/>
      <c r="L30" s="193" t="str">
        <f>$L$8</f>
        <v>Dachanlage</v>
      </c>
      <c r="M30" s="193"/>
      <c r="N30" s="194" t="s">
        <v>110</v>
      </c>
      <c r="O30" s="205" t="s">
        <v>126</v>
      </c>
      <c r="P30" s="205" t="s">
        <v>126</v>
      </c>
      <c r="Q30" s="231" t="s">
        <v>128</v>
      </c>
      <c r="R30" s="227" t="s">
        <v>128</v>
      </c>
      <c r="S30" s="201" t="s">
        <v>130</v>
      </c>
      <c r="T30" s="201" t="s">
        <v>130</v>
      </c>
      <c r="U30" s="201" t="s">
        <v>130</v>
      </c>
      <c r="V30" s="241"/>
      <c r="W30" s="193"/>
      <c r="X30" s="194" t="str">
        <f>N30</f>
        <v>Anteile</v>
      </c>
      <c r="Y30" s="210" t="s">
        <v>126</v>
      </c>
      <c r="Z30" s="210" t="s">
        <v>126</v>
      </c>
      <c r="AA30" s="210" t="s">
        <v>126</v>
      </c>
      <c r="AB30" s="231" t="s">
        <v>128</v>
      </c>
      <c r="AC30" s="231" t="s">
        <v>128</v>
      </c>
      <c r="AD30" s="231" t="s">
        <v>128</v>
      </c>
      <c r="AE30" s="231" t="s">
        <v>128</v>
      </c>
      <c r="AF30" s="231" t="s">
        <v>128</v>
      </c>
      <c r="AG30" s="201" t="s">
        <v>130</v>
      </c>
      <c r="AH30" s="201" t="s">
        <v>130</v>
      </c>
      <c r="AI30" s="201" t="s">
        <v>130</v>
      </c>
    </row>
    <row r="31" spans="1:35" ht="12.75">
      <c r="A31" s="604" t="s">
        <v>180</v>
      </c>
      <c r="B31" s="186" t="s">
        <v>124</v>
      </c>
      <c r="C31" s="188"/>
      <c r="D31" s="188"/>
      <c r="E31" s="184"/>
      <c r="F31" s="184"/>
      <c r="G31" s="1393">
        <f>IF((G30)&lt;G29,G29,(G30))</f>
        <v>0</v>
      </c>
      <c r="H31" s="1394"/>
      <c r="I31" s="615">
        <f>IF(G23=0,0,G31/G23)</f>
        <v>0</v>
      </c>
      <c r="J31" s="616"/>
      <c r="K31" s="1368"/>
      <c r="L31" s="1372">
        <f>$L$9</f>
        <v>10</v>
      </c>
      <c r="M31" s="1372"/>
      <c r="N31" s="198">
        <f>$N$9</f>
        <v>1</v>
      </c>
      <c r="O31" s="208">
        <f>$O$9</f>
        <v>0</v>
      </c>
      <c r="P31" s="208">
        <f>P35*N31</f>
        <v>0</v>
      </c>
      <c r="Q31" s="232">
        <f>$Q$9</f>
        <v>0.1275</v>
      </c>
      <c r="R31" s="228">
        <f>$R$9</f>
        <v>0.15</v>
      </c>
      <c r="S31" s="200">
        <f>P31*Q31*S29</f>
        <v>0</v>
      </c>
      <c r="T31" s="200">
        <f>P31*R31*T29</f>
        <v>0</v>
      </c>
      <c r="U31" s="200">
        <f>S31+T31</f>
        <v>0</v>
      </c>
      <c r="V31" s="246" t="s">
        <v>245</v>
      </c>
      <c r="W31" s="247">
        <f>L31</f>
        <v>10</v>
      </c>
      <c r="X31" s="198">
        <f>N31</f>
        <v>1</v>
      </c>
      <c r="Y31" s="208">
        <f>Y34*N31</f>
        <v>0</v>
      </c>
      <c r="Z31" s="208">
        <f>IF(O31=0,0,IF((Y31/O31)&gt;Z29,O31*Z29,Y31))</f>
        <v>0</v>
      </c>
      <c r="AA31" s="208">
        <f>IF(O31=0,0,IF((Y31/O31)&gt;Z29,Y31-(O31*Z29),0))</f>
        <v>0</v>
      </c>
      <c r="AB31" s="232">
        <f>$AB$9</f>
        <v>0.1275</v>
      </c>
      <c r="AC31" s="199">
        <f>$AC$9</f>
        <v>0</v>
      </c>
      <c r="AD31" s="199">
        <f>$AD$9</f>
        <v>0</v>
      </c>
      <c r="AE31" s="199">
        <f>IF($G$6&gt;$AB$4,0,IF($AB$5=3,0,AB31-AC31))</f>
        <v>0</v>
      </c>
      <c r="AF31" s="199">
        <f>IF($G$6&gt;$AB$4,0,IF($AB$5=3,0,AB31-AD31))</f>
        <v>0</v>
      </c>
      <c r="AG31" s="200">
        <f>Z31*AE31*AG29</f>
        <v>0</v>
      </c>
      <c r="AH31" s="200">
        <f>AA31*AF31*AG29</f>
        <v>0</v>
      </c>
      <c r="AI31" s="200">
        <f>AG31+AH31</f>
        <v>0</v>
      </c>
    </row>
    <row r="32" spans="1:35" ht="12.75">
      <c r="A32" s="604" t="s">
        <v>180</v>
      </c>
      <c r="B32" s="186" t="s">
        <v>131</v>
      </c>
      <c r="C32" s="188"/>
      <c r="D32" s="188"/>
      <c r="E32" s="184"/>
      <c r="F32" s="184"/>
      <c r="G32" s="1393">
        <f>G23-G31</f>
        <v>0</v>
      </c>
      <c r="H32" s="1394"/>
      <c r="I32" s="615">
        <f>IF(G23=0,0,G32/G23)</f>
        <v>0</v>
      </c>
      <c r="J32" s="616"/>
      <c r="K32" s="1368"/>
      <c r="L32" s="1372">
        <f>$L$10</f>
        <v>40</v>
      </c>
      <c r="M32" s="1372"/>
      <c r="N32" s="198">
        <f>$N$10</f>
        <v>0</v>
      </c>
      <c r="O32" s="208">
        <f>$O$10</f>
        <v>0</v>
      </c>
      <c r="P32" s="208">
        <f>P35*N32</f>
        <v>0</v>
      </c>
      <c r="Q32" s="232">
        <f>$Q$10</f>
        <v>0.124</v>
      </c>
      <c r="R32" s="228">
        <f>$R$10</f>
        <v>0.15</v>
      </c>
      <c r="S32" s="200">
        <f>P32*Q32*S29</f>
        <v>0</v>
      </c>
      <c r="T32" s="200">
        <f>P32*R32*T29</f>
        <v>0</v>
      </c>
      <c r="U32" s="200">
        <f>S32+T32</f>
        <v>0</v>
      </c>
      <c r="V32" s="246" t="s">
        <v>245</v>
      </c>
      <c r="W32" s="247">
        <f>L32</f>
        <v>40</v>
      </c>
      <c r="X32" s="198">
        <f>N32</f>
        <v>0</v>
      </c>
      <c r="Y32" s="208">
        <f>Y34*N32</f>
        <v>0</v>
      </c>
      <c r="Z32" s="208">
        <f>IF(O32=0,0,IF((Y32/O32)&gt;Z29,O32*Z29,Y32))</f>
        <v>0</v>
      </c>
      <c r="AA32" s="208">
        <f>IF(O32=0,0,IF((Y32/O32)&gt;Z29,Y32-(O32*Z29),0))</f>
        <v>0</v>
      </c>
      <c r="AB32" s="232">
        <f>$AB$10</f>
        <v>0.124</v>
      </c>
      <c r="AC32" s="199">
        <f>$AC$10</f>
        <v>0</v>
      </c>
      <c r="AD32" s="199">
        <f>$AD$10</f>
        <v>0</v>
      </c>
      <c r="AE32" s="199">
        <f>IF($G$6&gt;$AB$4,0,IF($AB$5=3,0,AB32-AC32))</f>
        <v>0</v>
      </c>
      <c r="AF32" s="199">
        <f>IF($G$6&gt;$AB$4,0,IF($AB$5=3,0,AB32-AD32))</f>
        <v>0</v>
      </c>
      <c r="AG32" s="200">
        <f>Z32*AE32*AG29</f>
        <v>0</v>
      </c>
      <c r="AH32" s="200">
        <f>AA32*AF32*AG29</f>
        <v>0</v>
      </c>
      <c r="AI32" s="200">
        <f>AG32+AH32</f>
        <v>0</v>
      </c>
    </row>
    <row r="33" spans="1:35" ht="12.75">
      <c r="A33" s="604" t="s">
        <v>180</v>
      </c>
      <c r="B33" s="186" t="s">
        <v>280</v>
      </c>
      <c r="C33" s="188"/>
      <c r="D33" s="188"/>
      <c r="E33" s="184"/>
      <c r="F33" s="166"/>
      <c r="G33" s="1361">
        <f>IF((G28*100)&gt;F30,1,0)</f>
        <v>0</v>
      </c>
      <c r="H33" s="1362"/>
      <c r="I33" s="616"/>
      <c r="J33" s="616"/>
      <c r="K33" s="1368"/>
      <c r="L33" s="1372">
        <f>$L$11</f>
        <v>1000</v>
      </c>
      <c r="M33" s="1372"/>
      <c r="N33" s="198">
        <f>$N$11</f>
        <v>0</v>
      </c>
      <c r="O33" s="208">
        <f>$O$11</f>
        <v>0</v>
      </c>
      <c r="P33" s="208">
        <f>P35*N33</f>
        <v>0</v>
      </c>
      <c r="Q33" s="232">
        <f>$Q$11</f>
        <v>0.1109</v>
      </c>
      <c r="R33" s="228">
        <f>$R$11</f>
        <v>0.15</v>
      </c>
      <c r="S33" s="200">
        <f>P33*Q33*S29</f>
        <v>0</v>
      </c>
      <c r="T33" s="200">
        <f>P33*R33*T29</f>
        <v>0</v>
      </c>
      <c r="U33" s="200">
        <f>S33+T33</f>
        <v>0</v>
      </c>
      <c r="V33" s="246" t="s">
        <v>245</v>
      </c>
      <c r="W33" s="248">
        <v>500</v>
      </c>
      <c r="X33" s="198">
        <f>N33</f>
        <v>0</v>
      </c>
      <c r="Y33" s="208">
        <f>Y34*N33</f>
        <v>0</v>
      </c>
      <c r="Z33" s="208">
        <f>IF(O33=0,0,IF((Y33/O33)&gt;Z29,O33*Z29,Y33))</f>
        <v>0</v>
      </c>
      <c r="AA33" s="208">
        <f>IF(O33=0,0,IF((Y33/O33)&gt;Z29,Y33-(O33*Z29),0))</f>
        <v>0</v>
      </c>
      <c r="AB33" s="232">
        <f>$AB$11</f>
        <v>0.1109</v>
      </c>
      <c r="AC33" s="199">
        <f>$AC$11</f>
        <v>0</v>
      </c>
      <c r="AD33" s="199">
        <f>$AD$11</f>
        <v>0</v>
      </c>
      <c r="AE33" s="199">
        <f>IF($G$6&gt;$AB$4,0,IF($AB$5=3,0,AB33-AC33))</f>
        <v>0</v>
      </c>
      <c r="AF33" s="199">
        <f>IF($G$6&gt;$AB$4,0,IF($AB$5=3,0,AB33-AD33))</f>
        <v>0</v>
      </c>
      <c r="AG33" s="200">
        <f>Z33*AE33*AG29</f>
        <v>0</v>
      </c>
      <c r="AH33" s="200">
        <f>AA33*AF33*AG29</f>
        <v>0</v>
      </c>
      <c r="AI33" s="200">
        <f>AG33+AH33</f>
        <v>0</v>
      </c>
    </row>
    <row r="34" spans="1:35" ht="12.75">
      <c r="A34" s="604" t="s">
        <v>180</v>
      </c>
      <c r="B34" s="1401">
        <f>IF(G33=0,"","Nach EEG ist für die geplante Anlage ein Mindesteigenverbrauch von "&amp;G28*100&amp;"% vorgeschrieben !")</f>
      </c>
      <c r="C34" s="1402"/>
      <c r="D34" s="1402"/>
      <c r="E34" s="1402"/>
      <c r="F34" s="1402"/>
      <c r="G34" s="1402"/>
      <c r="H34" s="1403"/>
      <c r="I34" s="616"/>
      <c r="J34" s="616"/>
      <c r="K34" s="1368"/>
      <c r="L34" s="1373">
        <f>$L$12</f>
        <v>1000</v>
      </c>
      <c r="M34" s="1373"/>
      <c r="N34" s="198">
        <f>$N$12</f>
        <v>0</v>
      </c>
      <c r="O34" s="208">
        <f>$O$12</f>
        <v>0</v>
      </c>
      <c r="P34" s="208">
        <f>P35*N34</f>
        <v>0</v>
      </c>
      <c r="Q34" s="232">
        <f>$Q$12</f>
        <v>0</v>
      </c>
      <c r="R34" s="228">
        <f>$R$12</f>
        <v>0.15</v>
      </c>
      <c r="S34" s="200">
        <f>P34*Q34*S29</f>
        <v>0</v>
      </c>
      <c r="T34" s="200">
        <f>P34*R34*T29</f>
        <v>0</v>
      </c>
      <c r="U34" s="200">
        <f>S34+T34</f>
        <v>0</v>
      </c>
      <c r="V34" s="202"/>
      <c r="W34" s="203" t="str">
        <f>M35</f>
        <v> gesamt</v>
      </c>
      <c r="X34" s="204">
        <f>N35</f>
        <v>1</v>
      </c>
      <c r="Y34" s="213">
        <f>O35-P35</f>
        <v>0</v>
      </c>
      <c r="Z34" s="213">
        <f>SUM(Z31:Z33)</f>
        <v>0</v>
      </c>
      <c r="AA34" s="213">
        <f>SUM(AA31:AA33)</f>
        <v>0</v>
      </c>
      <c r="AB34" s="233"/>
      <c r="AC34" s="234"/>
      <c r="AD34" s="214"/>
      <c r="AE34" s="214"/>
      <c r="AF34" s="214"/>
      <c r="AG34" s="214">
        <f>SUM(AG31:AG33)</f>
        <v>0</v>
      </c>
      <c r="AH34" s="214">
        <f>SUM(AH31:AH33)</f>
        <v>0</v>
      </c>
      <c r="AI34" s="234">
        <f>SUM(AI31:AI33)</f>
        <v>0</v>
      </c>
    </row>
    <row r="35" spans="1:35" ht="12.75">
      <c r="A35" s="604" t="s">
        <v>180</v>
      </c>
      <c r="B35" s="1401">
        <f>IF(G33=0,"","Achtung: Mindesteigenverbrauch = "&amp;G28*100&amp;"% !")</f>
      </c>
      <c r="C35" s="1402"/>
      <c r="D35" s="1402"/>
      <c r="E35" s="1402"/>
      <c r="F35" s="1402"/>
      <c r="G35" s="1402"/>
      <c r="H35" s="1403"/>
      <c r="I35" s="598"/>
      <c r="J35" s="598"/>
      <c r="K35" s="1368"/>
      <c r="L35" s="202"/>
      <c r="M35" s="203" t="s">
        <v>223</v>
      </c>
      <c r="N35" s="204">
        <f>SUM(N31:N34)</f>
        <v>1</v>
      </c>
      <c r="O35" s="213">
        <f>$O$13</f>
        <v>0</v>
      </c>
      <c r="P35" s="213">
        <f>O35*(1-K28)</f>
        <v>0</v>
      </c>
      <c r="Q35" s="233"/>
      <c r="R35" s="229"/>
      <c r="S35" s="214">
        <f>SUM(S31:S34)</f>
        <v>0</v>
      </c>
      <c r="T35" s="214">
        <f>SUM(T31:T34)</f>
        <v>0</v>
      </c>
      <c r="U35" s="214">
        <f>SUM(U31:U34)</f>
        <v>0</v>
      </c>
      <c r="V35" s="195"/>
      <c r="W35" s="196"/>
      <c r="X35" s="197"/>
      <c r="Y35" s="197"/>
      <c r="Z35" s="1374">
        <f>Z34+AA34</f>
        <v>0</v>
      </c>
      <c r="AA35" s="1375"/>
      <c r="AB35" s="215"/>
      <c r="AC35" s="215"/>
      <c r="AD35" s="195"/>
      <c r="AE35" s="195"/>
      <c r="AF35" s="195"/>
      <c r="AG35" s="1374">
        <f>AG34+AH34</f>
        <v>0</v>
      </c>
      <c r="AH35" s="1375"/>
      <c r="AI35" s="215"/>
    </row>
    <row r="36" spans="1:35" ht="12.75">
      <c r="A36" s="604" t="s">
        <v>180</v>
      </c>
      <c r="B36" s="186" t="str">
        <f>"Herstellungskosten "&amp;Kalkulation_Eigenstrom!AP17&amp;""</f>
        <v>Herstellungskosten PV-Anlage (Module, AC &amp; DC-Kabel, etc.)</v>
      </c>
      <c r="C36" s="188"/>
      <c r="D36" s="188"/>
      <c r="E36" s="184"/>
      <c r="F36" s="184"/>
      <c r="G36" s="1381">
        <f>Kalkulation_Eigenstrom!AY17</f>
        <v>0</v>
      </c>
      <c r="H36" s="1382"/>
      <c r="I36" s="598"/>
      <c r="J36" s="598"/>
      <c r="K36" s="1369"/>
      <c r="L36" s="195"/>
      <c r="M36" s="196" t="s">
        <v>213</v>
      </c>
      <c r="N36" s="611"/>
      <c r="O36" s="197">
        <f>SUM(O31:O34)</f>
        <v>0</v>
      </c>
      <c r="P36" s="197">
        <f>SUM(P31:P34)</f>
        <v>0</v>
      </c>
      <c r="Q36" s="215"/>
      <c r="R36" s="215"/>
      <c r="S36" s="1374">
        <f>S35+T35</f>
        <v>0</v>
      </c>
      <c r="T36" s="1375"/>
      <c r="U36" s="243"/>
      <c r="V36" s="612"/>
      <c r="W36" s="598"/>
      <c r="X36" s="612"/>
      <c r="Y36" s="612"/>
      <c r="Z36" s="612"/>
      <c r="AA36" s="598"/>
      <c r="AB36" s="613">
        <f>IF(O35=0,0,Z34/O35)</f>
        <v>0</v>
      </c>
      <c r="AC36" s="613">
        <f>IF(O35=0,0,AA34/O35)</f>
        <v>0</v>
      </c>
      <c r="AD36" s="612"/>
      <c r="AE36" s="598"/>
      <c r="AF36" s="612"/>
      <c r="AG36" s="598"/>
      <c r="AH36" s="598"/>
      <c r="AI36" s="612"/>
    </row>
    <row r="37" spans="1:35" ht="12.75">
      <c r="A37" s="604" t="s">
        <v>180</v>
      </c>
      <c r="B37" s="186" t="str">
        <f>"Herstellungskosten "&amp;Kalkulation_Eigenstrom!AP19&amp;""</f>
        <v>Herstellungskosten Wechselrichter</v>
      </c>
      <c r="C37" s="188"/>
      <c r="D37" s="188"/>
      <c r="E37" s="184"/>
      <c r="F37" s="184"/>
      <c r="G37" s="1381">
        <f>Kalkulation_Eigenstrom!AY19</f>
        <v>0</v>
      </c>
      <c r="H37" s="1382"/>
      <c r="I37" s="598"/>
      <c r="J37" s="598"/>
      <c r="K37" s="598"/>
      <c r="L37" s="216"/>
      <c r="M37" s="216"/>
      <c r="N37" s="217"/>
      <c r="O37" s="218"/>
      <c r="P37" s="219"/>
      <c r="Q37" s="220"/>
      <c r="R37" s="221"/>
      <c r="S37" s="222"/>
      <c r="T37" s="223"/>
      <c r="U37" s="224"/>
      <c r="V37" s="612"/>
      <c r="W37" s="598"/>
      <c r="X37" s="612"/>
      <c r="Y37" s="612"/>
      <c r="Z37" s="612"/>
      <c r="AA37" s="598"/>
      <c r="AB37" s="1365">
        <f>AB36+AC36</f>
        <v>0</v>
      </c>
      <c r="AC37" s="1366"/>
      <c r="AD37" s="614"/>
      <c r="AE37" s="598"/>
      <c r="AF37" s="612"/>
      <c r="AG37" s="598"/>
      <c r="AH37" s="598"/>
      <c r="AI37" s="598"/>
    </row>
    <row r="38" spans="1:35" ht="12.75">
      <c r="A38" s="604" t="s">
        <v>180</v>
      </c>
      <c r="B38" s="186" t="str">
        <f>"Herstellungskosten "&amp;Kalkulation_Eigenstrom!AP21&amp;""</f>
        <v>Herstellungskosten Unterkonstruktion / Montagegestell</v>
      </c>
      <c r="C38" s="188"/>
      <c r="D38" s="188"/>
      <c r="E38" s="184"/>
      <c r="F38" s="184"/>
      <c r="G38" s="1381">
        <f>Kalkulation_Eigenstrom!AY21</f>
        <v>0</v>
      </c>
      <c r="H38" s="1382"/>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603"/>
      <c r="AH38" s="603"/>
      <c r="AI38" s="598"/>
    </row>
    <row r="39" spans="1:35" ht="12.75">
      <c r="A39" s="604" t="s">
        <v>180</v>
      </c>
      <c r="B39" s="186" t="str">
        <f>"Herstellungskosten "&amp;Kalkulation_Eigenstrom!AP23&amp;""</f>
        <v>Herstellungskosten </v>
      </c>
      <c r="C39" s="188"/>
      <c r="D39" s="188"/>
      <c r="E39" s="184"/>
      <c r="F39" s="191"/>
      <c r="G39" s="1381">
        <f>Kalkulation_Eigenstrom!AY23</f>
        <v>0</v>
      </c>
      <c r="H39" s="1382"/>
      <c r="I39" s="598"/>
      <c r="J39" s="598"/>
      <c r="K39" s="1367">
        <v>0.1</v>
      </c>
      <c r="L39" s="235" t="s">
        <v>220</v>
      </c>
      <c r="M39" s="193"/>
      <c r="N39" s="193"/>
      <c r="O39" s="205" t="s">
        <v>125</v>
      </c>
      <c r="P39" s="206" t="s">
        <v>222</v>
      </c>
      <c r="Q39" s="230" t="s">
        <v>5</v>
      </c>
      <c r="R39" s="226" t="s">
        <v>232</v>
      </c>
      <c r="S39" s="212" t="s">
        <v>129</v>
      </c>
      <c r="T39" s="212" t="s">
        <v>129</v>
      </c>
      <c r="U39" s="212" t="s">
        <v>211</v>
      </c>
      <c r="V39" s="235" t="s">
        <v>229</v>
      </c>
      <c r="W39" s="193"/>
      <c r="X39" s="193"/>
      <c r="Y39" s="206" t="s">
        <v>212</v>
      </c>
      <c r="Z39" s="206" t="s">
        <v>212</v>
      </c>
      <c r="AA39" s="206" t="s">
        <v>212</v>
      </c>
      <c r="AB39" s="230" t="s">
        <v>231</v>
      </c>
      <c r="AC39" s="211" t="s">
        <v>233</v>
      </c>
      <c r="AD39" s="211" t="s">
        <v>233</v>
      </c>
      <c r="AE39" s="211" t="s">
        <v>5</v>
      </c>
      <c r="AF39" s="211" t="s">
        <v>5</v>
      </c>
      <c r="AG39" s="242" t="s">
        <v>129</v>
      </c>
      <c r="AH39" s="242" t="s">
        <v>129</v>
      </c>
      <c r="AI39" s="212" t="s">
        <v>211</v>
      </c>
    </row>
    <row r="40" spans="1:35" ht="12.75">
      <c r="A40" s="604" t="s">
        <v>180</v>
      </c>
      <c r="B40" s="186" t="str">
        <f>"Herstellungskosten "&amp;Kalkulation_Eigenstrom!AP25&amp;""</f>
        <v>Herstellungskosten </v>
      </c>
      <c r="C40" s="188"/>
      <c r="D40" s="188"/>
      <c r="E40" s="184"/>
      <c r="F40" s="191"/>
      <c r="G40" s="1381">
        <f>Kalkulation_Eigenstrom!AY25</f>
        <v>0</v>
      </c>
      <c r="H40" s="1382"/>
      <c r="I40" s="598"/>
      <c r="J40" s="598"/>
      <c r="K40" s="1368"/>
      <c r="L40" s="193"/>
      <c r="M40" s="193"/>
      <c r="N40" s="194"/>
      <c r="O40" s="205" t="s">
        <v>211</v>
      </c>
      <c r="P40" s="207" t="s">
        <v>221</v>
      </c>
      <c r="Q40" s="605" t="str">
        <f>$Q$7</f>
        <v>0-20Jahre</v>
      </c>
      <c r="R40" s="606" t="str">
        <f>$R$7</f>
        <v>21-20 Jahre</v>
      </c>
      <c r="S40" s="607">
        <f>$S$7</f>
        <v>1</v>
      </c>
      <c r="T40" s="607">
        <f>$T$7</f>
        <v>0</v>
      </c>
      <c r="U40" s="608" t="str">
        <f>$U$7</f>
        <v>0-20 Jahre</v>
      </c>
      <c r="V40" s="193"/>
      <c r="W40" s="193"/>
      <c r="X40" s="194"/>
      <c r="Y40" s="209" t="s">
        <v>211</v>
      </c>
      <c r="Z40" s="237">
        <f>$Z$7</f>
        <v>0.3</v>
      </c>
      <c r="AA40" s="238">
        <f>Z40</f>
        <v>0.3</v>
      </c>
      <c r="AB40" s="605" t="str">
        <f>"0-"&amp;G112&amp;"Jahre"</f>
        <v>0-0Jahre</v>
      </c>
      <c r="AC40" s="609" t="str">
        <f>"bis "&amp;Z40*100&amp;"%"</f>
        <v>bis 30%</v>
      </c>
      <c r="AD40" s="609" t="str">
        <f>"über "&amp;AA40*100&amp;"%"</f>
        <v>über 30%</v>
      </c>
      <c r="AE40" s="609" t="str">
        <f>"bis "&amp;Z40*100&amp;"%"</f>
        <v>bis 30%</v>
      </c>
      <c r="AF40" s="609" t="str">
        <f>"über "&amp;AA40*100&amp;"%"</f>
        <v>über 30%</v>
      </c>
      <c r="AG40" s="1370">
        <f>$AG$7</f>
        <v>1</v>
      </c>
      <c r="AH40" s="1371"/>
      <c r="AI40" s="609" t="str">
        <f>$AI$7</f>
        <v>0-20 Jahre</v>
      </c>
    </row>
    <row r="41" spans="1:35" ht="12.75">
      <c r="A41" s="604" t="s">
        <v>180</v>
      </c>
      <c r="B41" s="192" t="str">
        <f>Kalkulation_Eigenstrom!AP14</f>
        <v>PV-Anlage (Herstellungskosten) </v>
      </c>
      <c r="C41" s="188"/>
      <c r="D41" s="188"/>
      <c r="E41" s="184"/>
      <c r="F41" s="184"/>
      <c r="G41" s="1378">
        <f>SUM(G36:H40)</f>
        <v>0</v>
      </c>
      <c r="H41" s="1377"/>
      <c r="I41" s="598"/>
      <c r="J41" s="598"/>
      <c r="K41" s="1368"/>
      <c r="L41" s="193" t="str">
        <f>$L$8</f>
        <v>Dachanlage</v>
      </c>
      <c r="M41" s="193"/>
      <c r="N41" s="194" t="s">
        <v>110</v>
      </c>
      <c r="O41" s="205" t="s">
        <v>126</v>
      </c>
      <c r="P41" s="205" t="s">
        <v>126</v>
      </c>
      <c r="Q41" s="231" t="s">
        <v>128</v>
      </c>
      <c r="R41" s="227" t="s">
        <v>128</v>
      </c>
      <c r="S41" s="201" t="s">
        <v>130</v>
      </c>
      <c r="T41" s="201" t="s">
        <v>130</v>
      </c>
      <c r="U41" s="201" t="s">
        <v>130</v>
      </c>
      <c r="V41" s="241"/>
      <c r="W41" s="193"/>
      <c r="X41" s="194" t="str">
        <f>N41</f>
        <v>Anteile</v>
      </c>
      <c r="Y41" s="210" t="s">
        <v>126</v>
      </c>
      <c r="Z41" s="210" t="s">
        <v>126</v>
      </c>
      <c r="AA41" s="210" t="s">
        <v>126</v>
      </c>
      <c r="AB41" s="231" t="s">
        <v>128</v>
      </c>
      <c r="AC41" s="231" t="s">
        <v>128</v>
      </c>
      <c r="AD41" s="231" t="s">
        <v>128</v>
      </c>
      <c r="AE41" s="231" t="s">
        <v>128</v>
      </c>
      <c r="AF41" s="231" t="s">
        <v>128</v>
      </c>
      <c r="AG41" s="201" t="s">
        <v>130</v>
      </c>
      <c r="AH41" s="201" t="s">
        <v>130</v>
      </c>
      <c r="AI41" s="201" t="s">
        <v>130</v>
      </c>
    </row>
    <row r="42" spans="1:35" ht="12.75">
      <c r="A42" s="604" t="s">
        <v>180</v>
      </c>
      <c r="B42" s="186" t="s">
        <v>214</v>
      </c>
      <c r="C42" s="188"/>
      <c r="D42" s="188"/>
      <c r="E42" s="184"/>
      <c r="F42" s="184"/>
      <c r="G42" s="1415">
        <f>IF(G6=0,0,G41/G6)</f>
        <v>0</v>
      </c>
      <c r="H42" s="1416"/>
      <c r="I42" s="598"/>
      <c r="J42" s="598"/>
      <c r="K42" s="1368"/>
      <c r="L42" s="1372">
        <f>$L$9</f>
        <v>10</v>
      </c>
      <c r="M42" s="1372"/>
      <c r="N42" s="198">
        <f>$N$9</f>
        <v>1</v>
      </c>
      <c r="O42" s="208">
        <f>$O$9</f>
        <v>0</v>
      </c>
      <c r="P42" s="208">
        <f>P46*N42</f>
        <v>0</v>
      </c>
      <c r="Q42" s="232">
        <f>$Q$9</f>
        <v>0.1275</v>
      </c>
      <c r="R42" s="228">
        <f>$R$9</f>
        <v>0.15</v>
      </c>
      <c r="S42" s="200">
        <f>P42*Q42*S40</f>
        <v>0</v>
      </c>
      <c r="T42" s="200">
        <f>P42*R42*T40</f>
        <v>0</v>
      </c>
      <c r="U42" s="200">
        <f>S42+T42</f>
        <v>0</v>
      </c>
      <c r="V42" s="246" t="s">
        <v>245</v>
      </c>
      <c r="W42" s="247">
        <f>L42</f>
        <v>10</v>
      </c>
      <c r="X42" s="198">
        <f>N42</f>
        <v>1</v>
      </c>
      <c r="Y42" s="208">
        <f>Y45*N42</f>
        <v>0</v>
      </c>
      <c r="Z42" s="208">
        <f>IF(O42=0,0,IF((Y42/O42)&gt;Z40,O42*Z40,Y42))</f>
        <v>0</v>
      </c>
      <c r="AA42" s="208">
        <f>IF(O42=0,0,IF((Y42/O42)&gt;Z40,Y42-(O42*Z40),0))</f>
        <v>0</v>
      </c>
      <c r="AB42" s="232">
        <f>$AB$9</f>
        <v>0.1275</v>
      </c>
      <c r="AC42" s="199">
        <f>$AC$9</f>
        <v>0</v>
      </c>
      <c r="AD42" s="199">
        <f>$AD$9</f>
        <v>0</v>
      </c>
      <c r="AE42" s="199">
        <f>IF($G$6&gt;$AB$4,0,IF($AB$5=3,0,AB42-AC42))</f>
        <v>0</v>
      </c>
      <c r="AF42" s="199">
        <f>IF($G$6&gt;$AB$4,0,IF($AB$5=3,0,AB42-AD42))</f>
        <v>0</v>
      </c>
      <c r="AG42" s="200">
        <f>Z42*AE42*AG40</f>
        <v>0</v>
      </c>
      <c r="AH42" s="200">
        <f>AA42*AF42*AG40</f>
        <v>0</v>
      </c>
      <c r="AI42" s="200">
        <f>AG42+AH42</f>
        <v>0</v>
      </c>
    </row>
    <row r="43" spans="1:35" ht="12.75">
      <c r="A43" s="604" t="s">
        <v>180</v>
      </c>
      <c r="B43" s="192" t="str">
        <f>Kalkulation_Eigenstrom!AP43</f>
        <v>AfA: PV-Anlage (Module, AC &amp; DC-Kabel, etc.)</v>
      </c>
      <c r="C43" s="188"/>
      <c r="D43" s="188"/>
      <c r="E43" s="184"/>
      <c r="F43" s="610">
        <f>Kalkulation_Eigenstrom!AN41</f>
        <v>20</v>
      </c>
      <c r="G43" s="1378">
        <f>IF(F43=0,0,G36/F43)</f>
        <v>0</v>
      </c>
      <c r="H43" s="1377"/>
      <c r="I43" s="598"/>
      <c r="J43" s="598"/>
      <c r="K43" s="1368"/>
      <c r="L43" s="1372">
        <f>$L$10</f>
        <v>40</v>
      </c>
      <c r="M43" s="1372"/>
      <c r="N43" s="198">
        <f>$N$10</f>
        <v>0</v>
      </c>
      <c r="O43" s="208">
        <f>$O$10</f>
        <v>0</v>
      </c>
      <c r="P43" s="208">
        <f>P46*N43</f>
        <v>0</v>
      </c>
      <c r="Q43" s="232">
        <f>$Q$10</f>
        <v>0.124</v>
      </c>
      <c r="R43" s="228">
        <f>$R$10</f>
        <v>0.15</v>
      </c>
      <c r="S43" s="200">
        <f>P43*Q43*S40</f>
        <v>0</v>
      </c>
      <c r="T43" s="200">
        <f>P43*R43*T40</f>
        <v>0</v>
      </c>
      <c r="U43" s="200">
        <f>S43+T43</f>
        <v>0</v>
      </c>
      <c r="V43" s="246" t="s">
        <v>245</v>
      </c>
      <c r="W43" s="247">
        <f>L43</f>
        <v>40</v>
      </c>
      <c r="X43" s="198">
        <f>N43</f>
        <v>0</v>
      </c>
      <c r="Y43" s="208">
        <f>Y45*N43</f>
        <v>0</v>
      </c>
      <c r="Z43" s="208">
        <f>IF(O43=0,0,IF((Y43/O43)&gt;Z40,O43*Z40,Y43))</f>
        <v>0</v>
      </c>
      <c r="AA43" s="208">
        <f>IF(O43=0,0,IF((Y43/O43)&gt;Z40,Y43-(O43*Z40),0))</f>
        <v>0</v>
      </c>
      <c r="AB43" s="232">
        <f>$AB$10</f>
        <v>0.124</v>
      </c>
      <c r="AC43" s="199">
        <f>$AC$10</f>
        <v>0</v>
      </c>
      <c r="AD43" s="199">
        <f>$AD$10</f>
        <v>0</v>
      </c>
      <c r="AE43" s="199">
        <f>IF($G$6&gt;$AB$4,0,IF($AB$5=3,0,AB43-AC43))</f>
        <v>0</v>
      </c>
      <c r="AF43" s="199">
        <f>IF($G$6&gt;$AB$4,0,IF($AB$5=3,0,AB43-AD43))</f>
        <v>0</v>
      </c>
      <c r="AG43" s="200">
        <f>Z43*AE43*AG40</f>
        <v>0</v>
      </c>
      <c r="AH43" s="200">
        <f>AA43*AF43*AG40</f>
        <v>0</v>
      </c>
      <c r="AI43" s="200">
        <f>AG43+AH43</f>
        <v>0</v>
      </c>
    </row>
    <row r="44" spans="1:35" ht="12.75">
      <c r="A44" s="604" t="s">
        <v>180</v>
      </c>
      <c r="B44" s="192" t="str">
        <f>Kalkulation_Eigenstrom!AP45</f>
        <v>AfA: Wechselrichter</v>
      </c>
      <c r="C44" s="188"/>
      <c r="D44" s="188"/>
      <c r="E44" s="184"/>
      <c r="F44" s="610">
        <f>Kalkulation_Eigenstrom!AW45</f>
        <v>10</v>
      </c>
      <c r="G44" s="1378">
        <f>IF(F44=0,0,G37/F44)</f>
        <v>0</v>
      </c>
      <c r="H44" s="1377"/>
      <c r="I44" s="598"/>
      <c r="J44" s="598"/>
      <c r="K44" s="1368"/>
      <c r="L44" s="1372">
        <f>$L$11</f>
        <v>1000</v>
      </c>
      <c r="M44" s="1372"/>
      <c r="N44" s="198">
        <f>$N$11</f>
        <v>0</v>
      </c>
      <c r="O44" s="208">
        <f>$O$11</f>
        <v>0</v>
      </c>
      <c r="P44" s="208">
        <f>P46*N44</f>
        <v>0</v>
      </c>
      <c r="Q44" s="232">
        <f>$Q$11</f>
        <v>0.1109</v>
      </c>
      <c r="R44" s="228">
        <f>$R$11</f>
        <v>0.15</v>
      </c>
      <c r="S44" s="200">
        <f>P44*Q44*S40</f>
        <v>0</v>
      </c>
      <c r="T44" s="200">
        <f>P44*R44*T40</f>
        <v>0</v>
      </c>
      <c r="U44" s="200">
        <f>S44+T44</f>
        <v>0</v>
      </c>
      <c r="V44" s="246" t="s">
        <v>245</v>
      </c>
      <c r="W44" s="248">
        <v>500</v>
      </c>
      <c r="X44" s="198">
        <f>N44</f>
        <v>0</v>
      </c>
      <c r="Y44" s="208">
        <f>Y45*N44</f>
        <v>0</v>
      </c>
      <c r="Z44" s="208">
        <f>IF(O44=0,0,IF((Y44/O44)&gt;Z40,O44*Z40,Y44))</f>
        <v>0</v>
      </c>
      <c r="AA44" s="208">
        <f>IF(O44=0,0,IF((Y44/O44)&gt;Z40,Y44-(O44*Z40),0))</f>
        <v>0</v>
      </c>
      <c r="AB44" s="232">
        <f>$AB$11</f>
        <v>0.1109</v>
      </c>
      <c r="AC44" s="199">
        <f>$AC$11</f>
        <v>0</v>
      </c>
      <c r="AD44" s="199">
        <f>$AD$11</f>
        <v>0</v>
      </c>
      <c r="AE44" s="199">
        <f>IF($G$6&gt;$AB$4,0,IF($AB$5=3,0,AB44-AC44))</f>
        <v>0</v>
      </c>
      <c r="AF44" s="199">
        <f>IF($G$6&gt;$AB$4,0,IF($AB$5=3,0,AB44-AD44))</f>
        <v>0</v>
      </c>
      <c r="AG44" s="200">
        <f>Z44*AE44*AG40</f>
        <v>0</v>
      </c>
      <c r="AH44" s="200">
        <f>AA44*AF44*AG40</f>
        <v>0</v>
      </c>
      <c r="AI44" s="200">
        <f>AG44+AH44</f>
        <v>0</v>
      </c>
    </row>
    <row r="45" spans="1:35" ht="12.75">
      <c r="A45" s="604" t="s">
        <v>180</v>
      </c>
      <c r="B45" s="192" t="str">
        <f>Kalkulation_Eigenstrom!AP47</f>
        <v>AfA: Unterkonstruktion / Montagegestell</v>
      </c>
      <c r="C45" s="188"/>
      <c r="D45" s="188"/>
      <c r="E45" s="184"/>
      <c r="F45" s="610">
        <f>Kalkulation_Eigenstrom!AW47</f>
        <v>50</v>
      </c>
      <c r="G45" s="1378">
        <f>IF(F45=0,0,G38/F45)</f>
        <v>0</v>
      </c>
      <c r="H45" s="1377"/>
      <c r="I45" s="598"/>
      <c r="J45" s="598"/>
      <c r="K45" s="1368"/>
      <c r="L45" s="1373">
        <f>$L$12</f>
        <v>1000</v>
      </c>
      <c r="M45" s="1373"/>
      <c r="N45" s="198">
        <f>$N$12</f>
        <v>0</v>
      </c>
      <c r="O45" s="208">
        <f>$O$12</f>
        <v>0</v>
      </c>
      <c r="P45" s="208">
        <f>P46*N45</f>
        <v>0</v>
      </c>
      <c r="Q45" s="232">
        <f>$Q$12</f>
        <v>0</v>
      </c>
      <c r="R45" s="228">
        <f>$R$12</f>
        <v>0.15</v>
      </c>
      <c r="S45" s="200">
        <f>P45*Q45*S40</f>
        <v>0</v>
      </c>
      <c r="T45" s="200">
        <f>P45*R45*T40</f>
        <v>0</v>
      </c>
      <c r="U45" s="200">
        <f>S45+T45</f>
        <v>0</v>
      </c>
      <c r="V45" s="202"/>
      <c r="W45" s="203" t="str">
        <f>M46</f>
        <v> gesamt</v>
      </c>
      <c r="X45" s="204">
        <f>N46</f>
        <v>1</v>
      </c>
      <c r="Y45" s="213">
        <f>O46-P46</f>
        <v>0</v>
      </c>
      <c r="Z45" s="213">
        <f>SUM(Z42:Z44)</f>
        <v>0</v>
      </c>
      <c r="AA45" s="213">
        <f>SUM(AA42:AA44)</f>
        <v>0</v>
      </c>
      <c r="AB45" s="233"/>
      <c r="AC45" s="234"/>
      <c r="AD45" s="214"/>
      <c r="AE45" s="214"/>
      <c r="AF45" s="214"/>
      <c r="AG45" s="214">
        <f>SUM(AG42:AG44)</f>
        <v>0</v>
      </c>
      <c r="AH45" s="214">
        <f>SUM(AH42:AH44)</f>
        <v>0</v>
      </c>
      <c r="AI45" s="234">
        <f>SUM(AI42:AI44)</f>
        <v>0</v>
      </c>
    </row>
    <row r="46" spans="1:35" ht="12.75">
      <c r="A46" s="604" t="s">
        <v>180</v>
      </c>
      <c r="B46" s="192" t="str">
        <f>Kalkulation_Eigenstrom!AP49</f>
        <v>AfA: </v>
      </c>
      <c r="C46" s="188"/>
      <c r="D46" s="188"/>
      <c r="E46" s="184"/>
      <c r="F46" s="610">
        <f>Kalkulation_Eigenstrom!AW49</f>
        <v>20</v>
      </c>
      <c r="G46" s="1378">
        <f>IF(F46=0,0,G39/F46)</f>
        <v>0</v>
      </c>
      <c r="H46" s="1377"/>
      <c r="I46" s="598"/>
      <c r="J46" s="598"/>
      <c r="K46" s="1368"/>
      <c r="L46" s="202"/>
      <c r="M46" s="203" t="s">
        <v>223</v>
      </c>
      <c r="N46" s="204">
        <f>SUM(N42:N45)</f>
        <v>1</v>
      </c>
      <c r="O46" s="213">
        <f>$O$13</f>
        <v>0</v>
      </c>
      <c r="P46" s="213">
        <f>O46*(1-K39)</f>
        <v>0</v>
      </c>
      <c r="Q46" s="233"/>
      <c r="R46" s="229"/>
      <c r="S46" s="214">
        <f>SUM(S42:S45)</f>
        <v>0</v>
      </c>
      <c r="T46" s="214">
        <f>SUM(T42:T45)</f>
        <v>0</v>
      </c>
      <c r="U46" s="214">
        <f>SUM(U42:U45)</f>
        <v>0</v>
      </c>
      <c r="V46" s="195"/>
      <c r="W46" s="196"/>
      <c r="X46" s="197"/>
      <c r="Y46" s="197"/>
      <c r="Z46" s="1374">
        <f>Z45+AA45</f>
        <v>0</v>
      </c>
      <c r="AA46" s="1375"/>
      <c r="AB46" s="215"/>
      <c r="AC46" s="215"/>
      <c r="AD46" s="195"/>
      <c r="AE46" s="195"/>
      <c r="AF46" s="195"/>
      <c r="AG46" s="1374">
        <f>AG45+AH45</f>
        <v>0</v>
      </c>
      <c r="AH46" s="1375"/>
      <c r="AI46" s="215"/>
    </row>
    <row r="47" spans="1:35" ht="12.75">
      <c r="A47" s="604" t="s">
        <v>180</v>
      </c>
      <c r="B47" s="192" t="str">
        <f>Kalkulation_Eigenstrom!AP51</f>
        <v>AfA: </v>
      </c>
      <c r="C47" s="188"/>
      <c r="D47" s="188"/>
      <c r="E47" s="184"/>
      <c r="F47" s="610">
        <f>Kalkulation_Eigenstrom!AW51</f>
        <v>10</v>
      </c>
      <c r="G47" s="1378">
        <f>IF(F47=0,0,G40/F47)</f>
        <v>0</v>
      </c>
      <c r="H47" s="1377"/>
      <c r="I47" s="598"/>
      <c r="J47" s="598"/>
      <c r="K47" s="1369"/>
      <c r="L47" s="195"/>
      <c r="M47" s="196" t="s">
        <v>213</v>
      </c>
      <c r="N47" s="611"/>
      <c r="O47" s="197">
        <f>SUM(O42:O45)</f>
        <v>0</v>
      </c>
      <c r="P47" s="197">
        <f>SUM(P42:P45)</f>
        <v>0</v>
      </c>
      <c r="Q47" s="215"/>
      <c r="R47" s="215"/>
      <c r="S47" s="1374">
        <f>S46+T46</f>
        <v>0</v>
      </c>
      <c r="T47" s="1375"/>
      <c r="U47" s="243"/>
      <c r="V47" s="612"/>
      <c r="W47" s="598"/>
      <c r="X47" s="612"/>
      <c r="Y47" s="612"/>
      <c r="Z47" s="612"/>
      <c r="AA47" s="598"/>
      <c r="AB47" s="613">
        <f>IF(O46=0,0,Z45/O46)</f>
        <v>0</v>
      </c>
      <c r="AC47" s="613">
        <f>IF(O46=0,0,AA45/O46)</f>
        <v>0</v>
      </c>
      <c r="AD47" s="612"/>
      <c r="AE47" s="598"/>
      <c r="AF47" s="612"/>
      <c r="AG47" s="598"/>
      <c r="AH47" s="598"/>
      <c r="AI47" s="612"/>
    </row>
    <row r="48" spans="1:35" ht="12.75">
      <c r="A48" s="604" t="s">
        <v>180</v>
      </c>
      <c r="B48" s="186" t="s">
        <v>217</v>
      </c>
      <c r="C48" s="188"/>
      <c r="D48" s="188"/>
      <c r="E48" s="184"/>
      <c r="F48" s="184"/>
      <c r="G48" s="1378">
        <f>G43+G44+G45+G46+G47</f>
        <v>0</v>
      </c>
      <c r="H48" s="1377"/>
      <c r="I48" s="598"/>
      <c r="J48" s="598"/>
      <c r="K48" s="598"/>
      <c r="L48" s="216"/>
      <c r="M48" s="216"/>
      <c r="N48" s="217"/>
      <c r="O48" s="218"/>
      <c r="P48" s="219"/>
      <c r="Q48" s="220"/>
      <c r="R48" s="221"/>
      <c r="S48" s="222"/>
      <c r="T48" s="223"/>
      <c r="U48" s="224"/>
      <c r="V48" s="612"/>
      <c r="W48" s="598"/>
      <c r="X48" s="612"/>
      <c r="Y48" s="612"/>
      <c r="Z48" s="612"/>
      <c r="AA48" s="598"/>
      <c r="AB48" s="1365">
        <f>AB47+AC47</f>
        <v>0</v>
      </c>
      <c r="AC48" s="1366"/>
      <c r="AD48" s="614"/>
      <c r="AE48" s="598"/>
      <c r="AF48" s="612"/>
      <c r="AG48" s="598"/>
      <c r="AH48" s="598"/>
      <c r="AI48" s="598"/>
    </row>
    <row r="49" spans="1:35" ht="12.75">
      <c r="A49" s="604" t="s">
        <v>180</v>
      </c>
      <c r="B49" s="192" t="str">
        <f>"Herstellungskosten "&amp;Kalkulation_Eigenstrom!AP29&amp;""</f>
        <v>Herstellungskosten </v>
      </c>
      <c r="C49" s="188"/>
      <c r="D49" s="188"/>
      <c r="E49" s="184"/>
      <c r="F49" s="184"/>
      <c r="G49" s="1381">
        <f>Kalkulation_Eigenstrom!AY29</f>
        <v>0</v>
      </c>
      <c r="H49" s="1382"/>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603"/>
      <c r="AH49" s="603"/>
      <c r="AI49" s="598"/>
    </row>
    <row r="50" spans="1:35" ht="12.75">
      <c r="A50" s="604" t="s">
        <v>180</v>
      </c>
      <c r="B50" s="192" t="str">
        <f>"Herstellungskosten "&amp;Kalkulation_Eigenstrom!AP31&amp;""</f>
        <v>Herstellungskosten </v>
      </c>
      <c r="C50" s="188"/>
      <c r="D50" s="188"/>
      <c r="E50" s="184"/>
      <c r="F50" s="184"/>
      <c r="G50" s="1381">
        <f>Kalkulation_Eigenstrom!AY31</f>
        <v>0</v>
      </c>
      <c r="H50" s="1382"/>
      <c r="I50" s="598"/>
      <c r="J50" s="598"/>
      <c r="K50" s="1367">
        <v>0.2</v>
      </c>
      <c r="L50" s="235" t="s">
        <v>220</v>
      </c>
      <c r="M50" s="193"/>
      <c r="N50" s="193"/>
      <c r="O50" s="205" t="s">
        <v>125</v>
      </c>
      <c r="P50" s="206" t="s">
        <v>222</v>
      </c>
      <c r="Q50" s="230" t="s">
        <v>5</v>
      </c>
      <c r="R50" s="226" t="s">
        <v>232</v>
      </c>
      <c r="S50" s="212" t="s">
        <v>129</v>
      </c>
      <c r="T50" s="212" t="s">
        <v>129</v>
      </c>
      <c r="U50" s="212" t="s">
        <v>211</v>
      </c>
      <c r="V50" s="235" t="s">
        <v>229</v>
      </c>
      <c r="W50" s="193"/>
      <c r="X50" s="193"/>
      <c r="Y50" s="206" t="s">
        <v>212</v>
      </c>
      <c r="Z50" s="206" t="s">
        <v>212</v>
      </c>
      <c r="AA50" s="206" t="s">
        <v>212</v>
      </c>
      <c r="AB50" s="230" t="s">
        <v>231</v>
      </c>
      <c r="AC50" s="211" t="s">
        <v>233</v>
      </c>
      <c r="AD50" s="211" t="s">
        <v>233</v>
      </c>
      <c r="AE50" s="211" t="s">
        <v>5</v>
      </c>
      <c r="AF50" s="211" t="s">
        <v>5</v>
      </c>
      <c r="AG50" s="242" t="s">
        <v>129</v>
      </c>
      <c r="AH50" s="242" t="s">
        <v>129</v>
      </c>
      <c r="AI50" s="212" t="s">
        <v>211</v>
      </c>
    </row>
    <row r="51" spans="1:35" ht="12.75">
      <c r="A51" s="604" t="s">
        <v>180</v>
      </c>
      <c r="B51" s="192" t="str">
        <f>"Herstellungskosten "&amp;Kalkulation_Eigenstrom!AP33&amp;""</f>
        <v>Herstellungskosten </v>
      </c>
      <c r="C51" s="188"/>
      <c r="D51" s="188"/>
      <c r="E51" s="184"/>
      <c r="F51" s="184"/>
      <c r="G51" s="1381">
        <f>Kalkulation_Eigenstrom!AY33</f>
        <v>0</v>
      </c>
      <c r="H51" s="1382"/>
      <c r="I51" s="598"/>
      <c r="J51" s="598"/>
      <c r="K51" s="1368"/>
      <c r="L51" s="193"/>
      <c r="M51" s="193"/>
      <c r="N51" s="194"/>
      <c r="O51" s="205" t="s">
        <v>211</v>
      </c>
      <c r="P51" s="207" t="s">
        <v>221</v>
      </c>
      <c r="Q51" s="605" t="str">
        <f>$Q$7</f>
        <v>0-20Jahre</v>
      </c>
      <c r="R51" s="606" t="str">
        <f>$R$7</f>
        <v>21-20 Jahre</v>
      </c>
      <c r="S51" s="607">
        <f>$S$7</f>
        <v>1</v>
      </c>
      <c r="T51" s="607">
        <f>$T$7</f>
        <v>0</v>
      </c>
      <c r="U51" s="608" t="str">
        <f>$U$7</f>
        <v>0-20 Jahre</v>
      </c>
      <c r="V51" s="193"/>
      <c r="W51" s="193"/>
      <c r="X51" s="194"/>
      <c r="Y51" s="209" t="s">
        <v>211</v>
      </c>
      <c r="Z51" s="237">
        <f>$Z$7</f>
        <v>0.3</v>
      </c>
      <c r="AA51" s="238">
        <f>Z51</f>
        <v>0.3</v>
      </c>
      <c r="AB51" s="605" t="str">
        <f>"0-"&amp;G133&amp;"Jahre"</f>
        <v>0-Jahre</v>
      </c>
      <c r="AC51" s="609" t="str">
        <f>"bis "&amp;Z51*100&amp;"%"</f>
        <v>bis 30%</v>
      </c>
      <c r="AD51" s="609" t="str">
        <f>"über "&amp;AA51*100&amp;"%"</f>
        <v>über 30%</v>
      </c>
      <c r="AE51" s="609" t="str">
        <f>"bis "&amp;Z51*100&amp;"%"</f>
        <v>bis 30%</v>
      </c>
      <c r="AF51" s="609" t="str">
        <f>"über "&amp;AA51*100&amp;"%"</f>
        <v>über 30%</v>
      </c>
      <c r="AG51" s="1370">
        <f>$AG$7</f>
        <v>1</v>
      </c>
      <c r="AH51" s="1371"/>
      <c r="AI51" s="609" t="str">
        <f>$AI$7</f>
        <v>0-20 Jahre</v>
      </c>
    </row>
    <row r="52" spans="1:35" ht="12.75">
      <c r="A52" s="604" t="s">
        <v>180</v>
      </c>
      <c r="B52" s="192" t="str">
        <f>Kalkulation_Eigenstrom!AP26</f>
        <v>Sonstiges (Herstellungskosten) </v>
      </c>
      <c r="C52" s="188"/>
      <c r="D52" s="188"/>
      <c r="E52" s="184"/>
      <c r="F52" s="184"/>
      <c r="G52" s="1378">
        <f>G49+G50+G51</f>
        <v>0</v>
      </c>
      <c r="H52" s="1377"/>
      <c r="I52" s="598"/>
      <c r="J52" s="598"/>
      <c r="K52" s="1368"/>
      <c r="L52" s="193" t="str">
        <f>$L$8</f>
        <v>Dachanlage</v>
      </c>
      <c r="M52" s="193"/>
      <c r="N52" s="194" t="s">
        <v>110</v>
      </c>
      <c r="O52" s="205" t="s">
        <v>126</v>
      </c>
      <c r="P52" s="205" t="s">
        <v>126</v>
      </c>
      <c r="Q52" s="231" t="s">
        <v>128</v>
      </c>
      <c r="R52" s="227" t="s">
        <v>128</v>
      </c>
      <c r="S52" s="201" t="s">
        <v>130</v>
      </c>
      <c r="T52" s="201" t="s">
        <v>130</v>
      </c>
      <c r="U52" s="201" t="s">
        <v>130</v>
      </c>
      <c r="V52" s="241"/>
      <c r="W52" s="193"/>
      <c r="X52" s="194" t="str">
        <f>N52</f>
        <v>Anteile</v>
      </c>
      <c r="Y52" s="210" t="s">
        <v>126</v>
      </c>
      <c r="Z52" s="210" t="s">
        <v>126</v>
      </c>
      <c r="AA52" s="210" t="s">
        <v>126</v>
      </c>
      <c r="AB52" s="231" t="s">
        <v>128</v>
      </c>
      <c r="AC52" s="231" t="s">
        <v>128</v>
      </c>
      <c r="AD52" s="231" t="s">
        <v>128</v>
      </c>
      <c r="AE52" s="231" t="s">
        <v>128</v>
      </c>
      <c r="AF52" s="231" t="s">
        <v>128</v>
      </c>
      <c r="AG52" s="201" t="s">
        <v>130</v>
      </c>
      <c r="AH52" s="201" t="s">
        <v>130</v>
      </c>
      <c r="AI52" s="201" t="s">
        <v>130</v>
      </c>
    </row>
    <row r="53" spans="1:35" ht="12.75">
      <c r="A53" s="604" t="s">
        <v>180</v>
      </c>
      <c r="B53" s="192" t="str">
        <f>Kalkulation_Eigenstrom!AP53</f>
        <v>AfA: </v>
      </c>
      <c r="C53" s="188"/>
      <c r="D53" s="188"/>
      <c r="E53" s="184"/>
      <c r="F53" s="610">
        <f>Kalkulation_Eigenstrom!AW53</f>
        <v>20</v>
      </c>
      <c r="G53" s="1378">
        <f>IF(F53=0,0,G49/F53)</f>
        <v>0</v>
      </c>
      <c r="H53" s="1377"/>
      <c r="I53" s="617"/>
      <c r="J53" s="617"/>
      <c r="K53" s="1368"/>
      <c r="L53" s="1372">
        <f>$L$9</f>
        <v>10</v>
      </c>
      <c r="M53" s="1372"/>
      <c r="N53" s="198">
        <f>$N$9</f>
        <v>1</v>
      </c>
      <c r="O53" s="208">
        <f>$O$9</f>
        <v>0</v>
      </c>
      <c r="P53" s="208">
        <f>P57*N53</f>
        <v>0</v>
      </c>
      <c r="Q53" s="232">
        <f>$Q$9</f>
        <v>0.1275</v>
      </c>
      <c r="R53" s="228">
        <f>$R$9</f>
        <v>0.15</v>
      </c>
      <c r="S53" s="200">
        <f>P53*Q53*S51</f>
        <v>0</v>
      </c>
      <c r="T53" s="200">
        <f>P53*R53*T51</f>
        <v>0</v>
      </c>
      <c r="U53" s="200">
        <f>S53+T53</f>
        <v>0</v>
      </c>
      <c r="V53" s="246" t="s">
        <v>245</v>
      </c>
      <c r="W53" s="247">
        <f>L53</f>
        <v>10</v>
      </c>
      <c r="X53" s="198">
        <f>N53</f>
        <v>1</v>
      </c>
      <c r="Y53" s="208">
        <f>Y56*N53</f>
        <v>0</v>
      </c>
      <c r="Z53" s="208">
        <f>IF(O53=0,0,IF((Y53/O53)&gt;Z51,O53*Z51,Y53))</f>
        <v>0</v>
      </c>
      <c r="AA53" s="208">
        <f>IF(O53=0,0,IF((Y53/O53)&gt;Z51,Y53-(O53*Z51),0))</f>
        <v>0</v>
      </c>
      <c r="AB53" s="232">
        <f>$AB$9</f>
        <v>0.1275</v>
      </c>
      <c r="AC53" s="199">
        <f>$AC$9</f>
        <v>0</v>
      </c>
      <c r="AD53" s="199">
        <f>$AD$9</f>
        <v>0</v>
      </c>
      <c r="AE53" s="199">
        <f>IF($G$6&gt;$AB$4,0,IF($AB$5=3,0,AB53-AC53))</f>
        <v>0</v>
      </c>
      <c r="AF53" s="199">
        <f>IF($G$6&gt;$AB$4,0,IF($AB$5=3,0,AB53-AD53))</f>
        <v>0</v>
      </c>
      <c r="AG53" s="200">
        <f>Z53*AE53*AG51</f>
        <v>0</v>
      </c>
      <c r="AH53" s="200">
        <f>AA53*AF53*AG51</f>
        <v>0</v>
      </c>
      <c r="AI53" s="200">
        <f>AG53+AH53</f>
        <v>0</v>
      </c>
    </row>
    <row r="54" spans="1:35" ht="12.75">
      <c r="A54" s="604" t="s">
        <v>180</v>
      </c>
      <c r="B54" s="192" t="str">
        <f>Kalkulation_Eigenstrom!AP55</f>
        <v>AfA: </v>
      </c>
      <c r="C54" s="188"/>
      <c r="D54" s="188"/>
      <c r="E54" s="184"/>
      <c r="F54" s="610">
        <f>Kalkulation_Eigenstrom!AW55</f>
        <v>20</v>
      </c>
      <c r="G54" s="1378">
        <f>IF(F54=0,0,G50/F54)</f>
        <v>0</v>
      </c>
      <c r="H54" s="1377"/>
      <c r="I54" s="598"/>
      <c r="J54" s="598"/>
      <c r="K54" s="1368"/>
      <c r="L54" s="1372">
        <f>$L$10</f>
        <v>40</v>
      </c>
      <c r="M54" s="1372"/>
      <c r="N54" s="198">
        <f>$N$10</f>
        <v>0</v>
      </c>
      <c r="O54" s="208">
        <f>$O$10</f>
        <v>0</v>
      </c>
      <c r="P54" s="208">
        <f>P57*N54</f>
        <v>0</v>
      </c>
      <c r="Q54" s="232">
        <f>$Q$10</f>
        <v>0.124</v>
      </c>
      <c r="R54" s="228">
        <f>$R$10</f>
        <v>0.15</v>
      </c>
      <c r="S54" s="200">
        <f>P54*Q54*S51</f>
        <v>0</v>
      </c>
      <c r="T54" s="200">
        <f>P54*R54*T51</f>
        <v>0</v>
      </c>
      <c r="U54" s="200">
        <f>S54+T54</f>
        <v>0</v>
      </c>
      <c r="V54" s="246" t="s">
        <v>245</v>
      </c>
      <c r="W54" s="247">
        <f>L54</f>
        <v>40</v>
      </c>
      <c r="X54" s="198">
        <f>N54</f>
        <v>0</v>
      </c>
      <c r="Y54" s="208">
        <f>Y56*N54</f>
        <v>0</v>
      </c>
      <c r="Z54" s="208">
        <f>IF(O54=0,0,IF((Y54/O54)&gt;Z51,O54*Z51,Y54))</f>
        <v>0</v>
      </c>
      <c r="AA54" s="208">
        <f>IF(O54=0,0,IF((Y54/O54)&gt;Z51,Y54-(O54*Z51),0))</f>
        <v>0</v>
      </c>
      <c r="AB54" s="232">
        <f>$AB$10</f>
        <v>0.124</v>
      </c>
      <c r="AC54" s="199">
        <f>$AC$10</f>
        <v>0</v>
      </c>
      <c r="AD54" s="199">
        <f>$AD$10</f>
        <v>0</v>
      </c>
      <c r="AE54" s="199">
        <f>IF($G$6&gt;$AB$4,0,IF($AB$5=3,0,AB54-AC54))</f>
        <v>0</v>
      </c>
      <c r="AF54" s="199">
        <f>IF($G$6&gt;$AB$4,0,IF($AB$5=3,0,AB54-AD54))</f>
        <v>0</v>
      </c>
      <c r="AG54" s="200">
        <f>Z54*AE54*AG51</f>
        <v>0</v>
      </c>
      <c r="AH54" s="200">
        <f>AA54*AF54*AG51</f>
        <v>0</v>
      </c>
      <c r="AI54" s="200">
        <f>AG54+AH54</f>
        <v>0</v>
      </c>
    </row>
    <row r="55" spans="1:35" ht="12.75">
      <c r="A55" s="604" t="s">
        <v>180</v>
      </c>
      <c r="B55" s="192" t="str">
        <f>Kalkulation_Eigenstrom!AP57</f>
        <v>AfA: </v>
      </c>
      <c r="C55" s="188"/>
      <c r="D55" s="188"/>
      <c r="E55" s="184"/>
      <c r="F55" s="610">
        <f>Kalkulation_Eigenstrom!AW57</f>
        <v>10</v>
      </c>
      <c r="G55" s="1378">
        <f>IF(F55=0,0,G51/F55)</f>
        <v>0</v>
      </c>
      <c r="H55" s="1377"/>
      <c r="I55" s="598"/>
      <c r="J55" s="598"/>
      <c r="K55" s="1368"/>
      <c r="L55" s="1372">
        <f>$L$11</f>
        <v>1000</v>
      </c>
      <c r="M55" s="1372"/>
      <c r="N55" s="198">
        <f>$N$11</f>
        <v>0</v>
      </c>
      <c r="O55" s="208">
        <f>$O$11</f>
        <v>0</v>
      </c>
      <c r="P55" s="208">
        <f>P57*N55</f>
        <v>0</v>
      </c>
      <c r="Q55" s="232">
        <f>$Q$11</f>
        <v>0.1109</v>
      </c>
      <c r="R55" s="228">
        <f>$R$11</f>
        <v>0.15</v>
      </c>
      <c r="S55" s="200">
        <f>P55*Q55*S51</f>
        <v>0</v>
      </c>
      <c r="T55" s="200">
        <f>P55*R55*T51</f>
        <v>0</v>
      </c>
      <c r="U55" s="200">
        <f>S55+T55</f>
        <v>0</v>
      </c>
      <c r="V55" s="246" t="s">
        <v>245</v>
      </c>
      <c r="W55" s="248">
        <v>500</v>
      </c>
      <c r="X55" s="198">
        <f>N55</f>
        <v>0</v>
      </c>
      <c r="Y55" s="208">
        <f>Y56*N55</f>
        <v>0</v>
      </c>
      <c r="Z55" s="208">
        <f>IF(O55=0,0,IF((Y55/O55)&gt;Z51,O55*Z51,Y55))</f>
        <v>0</v>
      </c>
      <c r="AA55" s="208">
        <f>IF(O55=0,0,IF((Y55/O55)&gt;Z51,Y55-(O55*Z51),0))</f>
        <v>0</v>
      </c>
      <c r="AB55" s="232">
        <f>$AB$11</f>
        <v>0.1109</v>
      </c>
      <c r="AC55" s="199">
        <f>$AC$11</f>
        <v>0</v>
      </c>
      <c r="AD55" s="199">
        <f>$AD$11</f>
        <v>0</v>
      </c>
      <c r="AE55" s="199">
        <f>IF($G$6&gt;$AB$4,0,IF($AB$5=3,0,AB55-AC55))</f>
        <v>0</v>
      </c>
      <c r="AF55" s="199">
        <f>IF($G$6&gt;$AB$4,0,IF($AB$5=3,0,AB55-AD55))</f>
        <v>0</v>
      </c>
      <c r="AG55" s="200">
        <f>Z55*AE55*AG51</f>
        <v>0</v>
      </c>
      <c r="AH55" s="200">
        <f>AA55*AF55*AG51</f>
        <v>0</v>
      </c>
      <c r="AI55" s="200">
        <f>AG55+AH55</f>
        <v>0</v>
      </c>
    </row>
    <row r="56" spans="1:35" ht="12.75">
      <c r="A56" s="604" t="s">
        <v>180</v>
      </c>
      <c r="B56" s="186" t="s">
        <v>254</v>
      </c>
      <c r="C56" s="188"/>
      <c r="D56" s="188"/>
      <c r="E56" s="184"/>
      <c r="F56" s="184"/>
      <c r="G56" s="1378">
        <f>G53+G54+G55</f>
        <v>0</v>
      </c>
      <c r="H56" s="1377"/>
      <c r="I56" s="598"/>
      <c r="J56" s="598"/>
      <c r="K56" s="1368"/>
      <c r="L56" s="1373">
        <f>$L$12</f>
        <v>1000</v>
      </c>
      <c r="M56" s="1373"/>
      <c r="N56" s="198">
        <f>$N$12</f>
        <v>0</v>
      </c>
      <c r="O56" s="208">
        <f>$O$12</f>
        <v>0</v>
      </c>
      <c r="P56" s="208">
        <f>P57*N56</f>
        <v>0</v>
      </c>
      <c r="Q56" s="232">
        <f>$Q$12</f>
        <v>0</v>
      </c>
      <c r="R56" s="228">
        <f>$R$12</f>
        <v>0.15</v>
      </c>
      <c r="S56" s="200">
        <f>P56*Q56*S51</f>
        <v>0</v>
      </c>
      <c r="T56" s="200">
        <f>P56*R56*T51</f>
        <v>0</v>
      </c>
      <c r="U56" s="200">
        <f>S56+T56</f>
        <v>0</v>
      </c>
      <c r="V56" s="202"/>
      <c r="W56" s="203" t="str">
        <f>M57</f>
        <v> gesamt</v>
      </c>
      <c r="X56" s="204">
        <f>N57</f>
        <v>1</v>
      </c>
      <c r="Y56" s="213">
        <f>O57-P57</f>
        <v>0</v>
      </c>
      <c r="Z56" s="213">
        <f>SUM(Z53:Z55)</f>
        <v>0</v>
      </c>
      <c r="AA56" s="213">
        <f>SUM(AA53:AA55)</f>
        <v>0</v>
      </c>
      <c r="AB56" s="233"/>
      <c r="AC56" s="234"/>
      <c r="AD56" s="214"/>
      <c r="AE56" s="214"/>
      <c r="AF56" s="214"/>
      <c r="AG56" s="214">
        <f>SUM(AG53:AG55)</f>
        <v>0</v>
      </c>
      <c r="AH56" s="214">
        <f>SUM(AH53:AH55)</f>
        <v>0</v>
      </c>
      <c r="AI56" s="234">
        <f>SUM(AI53:AI55)</f>
        <v>0</v>
      </c>
    </row>
    <row r="57" spans="1:35" ht="12.75">
      <c r="A57" s="604" t="s">
        <v>180</v>
      </c>
      <c r="B57" s="186" t="s">
        <v>255</v>
      </c>
      <c r="C57" s="188"/>
      <c r="D57" s="188"/>
      <c r="E57" s="184"/>
      <c r="F57" s="184"/>
      <c r="G57" s="1378">
        <f>G41+G52</f>
        <v>0</v>
      </c>
      <c r="H57" s="1377"/>
      <c r="I57" s="598"/>
      <c r="J57" s="598"/>
      <c r="K57" s="1368"/>
      <c r="L57" s="202"/>
      <c r="M57" s="203" t="s">
        <v>223</v>
      </c>
      <c r="N57" s="204">
        <f>SUM(N53:N56)</f>
        <v>1</v>
      </c>
      <c r="O57" s="213">
        <f>$O$13</f>
        <v>0</v>
      </c>
      <c r="P57" s="213">
        <f>O57*(1-K50)</f>
        <v>0</v>
      </c>
      <c r="Q57" s="233"/>
      <c r="R57" s="229"/>
      <c r="S57" s="214">
        <f>SUM(S53:S56)</f>
        <v>0</v>
      </c>
      <c r="T57" s="214">
        <f>SUM(T53:T56)</f>
        <v>0</v>
      </c>
      <c r="U57" s="214">
        <f>SUM(U53:U56)</f>
        <v>0</v>
      </c>
      <c r="V57" s="195"/>
      <c r="W57" s="196"/>
      <c r="X57" s="197"/>
      <c r="Y57" s="197"/>
      <c r="Z57" s="1374">
        <f>Z56+AA56</f>
        <v>0</v>
      </c>
      <c r="AA57" s="1375"/>
      <c r="AB57" s="215"/>
      <c r="AC57" s="215"/>
      <c r="AD57" s="195"/>
      <c r="AE57" s="195"/>
      <c r="AF57" s="195"/>
      <c r="AG57" s="1374">
        <f>AG56+AH56</f>
        <v>0</v>
      </c>
      <c r="AH57" s="1375"/>
      <c r="AI57" s="215"/>
    </row>
    <row r="58" spans="1:35" ht="12.75">
      <c r="A58" s="604" t="s">
        <v>180</v>
      </c>
      <c r="B58" s="186" t="s">
        <v>299</v>
      </c>
      <c r="C58" s="188"/>
      <c r="D58" s="188"/>
      <c r="E58" s="618">
        <f>$F$58</f>
        <v>0.05</v>
      </c>
      <c r="F58" s="619">
        <f>Kalkulation_Eigenstrom!AN59/1000</f>
        <v>0.05</v>
      </c>
      <c r="G58" s="1378">
        <f>SUM(G59:H66)</f>
        <v>0</v>
      </c>
      <c r="H58" s="1377"/>
      <c r="I58" s="598"/>
      <c r="J58" s="598"/>
      <c r="K58" s="1369"/>
      <c r="L58" s="195"/>
      <c r="M58" s="196" t="s">
        <v>213</v>
      </c>
      <c r="N58" s="611"/>
      <c r="O58" s="197">
        <f>SUM(O53:O56)</f>
        <v>0</v>
      </c>
      <c r="P58" s="197">
        <f>SUM(P53:P56)</f>
        <v>0</v>
      </c>
      <c r="Q58" s="215"/>
      <c r="R58" s="215"/>
      <c r="S58" s="1374">
        <f>S57+T57</f>
        <v>0</v>
      </c>
      <c r="T58" s="1375"/>
      <c r="U58" s="243"/>
      <c r="V58" s="612"/>
      <c r="W58" s="598"/>
      <c r="X58" s="612"/>
      <c r="Y58" s="612"/>
      <c r="Z58" s="612"/>
      <c r="AA58" s="598"/>
      <c r="AB58" s="613">
        <f>IF(O57=0,0,Z56/O57)</f>
        <v>0</v>
      </c>
      <c r="AC58" s="613">
        <f>IF(O57=0,0,AA56/O57)</f>
        <v>0</v>
      </c>
      <c r="AD58" s="612"/>
      <c r="AE58" s="598"/>
      <c r="AF58" s="612"/>
      <c r="AG58" s="598"/>
      <c r="AH58" s="598"/>
      <c r="AI58" s="612"/>
    </row>
    <row r="59" spans="1:35" ht="12.75">
      <c r="A59" s="604" t="s">
        <v>180</v>
      </c>
      <c r="B59" s="186" t="str">
        <f>"Verzinsung "&amp;B36&amp;""</f>
        <v>Verzinsung Herstellungskosten PV-Anlage (Module, AC &amp; DC-Kabel, etc.)</v>
      </c>
      <c r="C59" s="188"/>
      <c r="D59" s="188"/>
      <c r="E59" s="184"/>
      <c r="F59" s="620">
        <f>$E$58/(1-(POWER((1/(1+$E$58)),F43)))</f>
        <v>0.0802425871906913</v>
      </c>
      <c r="G59" s="1376">
        <f>(F59-(1/F43))*G36</f>
        <v>0</v>
      </c>
      <c r="H59" s="1377"/>
      <c r="I59" s="598"/>
      <c r="J59" s="598"/>
      <c r="K59" s="598"/>
      <c r="L59" s="216"/>
      <c r="M59" s="216"/>
      <c r="N59" s="217"/>
      <c r="O59" s="218"/>
      <c r="P59" s="219"/>
      <c r="Q59" s="220"/>
      <c r="R59" s="221"/>
      <c r="S59" s="222"/>
      <c r="T59" s="223"/>
      <c r="U59" s="224"/>
      <c r="V59" s="612"/>
      <c r="W59" s="598"/>
      <c r="X59" s="612"/>
      <c r="Y59" s="612"/>
      <c r="Z59" s="612"/>
      <c r="AA59" s="598"/>
      <c r="AB59" s="1365">
        <f>AB58+AC58</f>
        <v>0</v>
      </c>
      <c r="AC59" s="1366"/>
      <c r="AD59" s="614"/>
      <c r="AE59" s="598"/>
      <c r="AF59" s="612"/>
      <c r="AG59" s="598"/>
      <c r="AH59" s="598"/>
      <c r="AI59" s="598"/>
    </row>
    <row r="60" spans="1:35" ht="12.75">
      <c r="A60" s="604" t="s">
        <v>180</v>
      </c>
      <c r="B60" s="186" t="str">
        <f>"Verzinsung "&amp;B37&amp;""</f>
        <v>Verzinsung Herstellungskosten Wechselrichter</v>
      </c>
      <c r="C60" s="188"/>
      <c r="D60" s="188"/>
      <c r="E60" s="184"/>
      <c r="F60" s="620">
        <f>$E$58/(1-(POWER((1/(1+$E$58)),F44)))</f>
        <v>0.12950457496545661</v>
      </c>
      <c r="G60" s="1376">
        <f>(F60-(1/F44))*G37</f>
        <v>0</v>
      </c>
      <c r="H60" s="1377"/>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603"/>
      <c r="AH60" s="603"/>
      <c r="AI60" s="598"/>
    </row>
    <row r="61" spans="1:35" ht="12.75">
      <c r="A61" s="604" t="s">
        <v>180</v>
      </c>
      <c r="B61" s="186" t="str">
        <f>"Verzinsung "&amp;B38&amp;""</f>
        <v>Verzinsung Herstellungskosten Unterkonstruktion / Montagegestell</v>
      </c>
      <c r="C61" s="188"/>
      <c r="D61" s="188"/>
      <c r="E61" s="184"/>
      <c r="F61" s="620">
        <f>$E$58/(1-(POWER((1/(1+$E$58)),F45)))</f>
        <v>0.05477673548573647</v>
      </c>
      <c r="G61" s="1376">
        <f>(F61-(1/F45))*G38</f>
        <v>0</v>
      </c>
      <c r="H61" s="1377"/>
      <c r="I61" s="598"/>
      <c r="J61" s="598"/>
      <c r="K61" s="1367">
        <v>0.3</v>
      </c>
      <c r="L61" s="235" t="s">
        <v>220</v>
      </c>
      <c r="M61" s="193"/>
      <c r="N61" s="193"/>
      <c r="O61" s="205" t="s">
        <v>125</v>
      </c>
      <c r="P61" s="206" t="s">
        <v>222</v>
      </c>
      <c r="Q61" s="230" t="s">
        <v>5</v>
      </c>
      <c r="R61" s="226" t="s">
        <v>232</v>
      </c>
      <c r="S61" s="212" t="s">
        <v>129</v>
      </c>
      <c r="T61" s="212" t="s">
        <v>129</v>
      </c>
      <c r="U61" s="212" t="s">
        <v>211</v>
      </c>
      <c r="V61" s="235" t="s">
        <v>229</v>
      </c>
      <c r="W61" s="193"/>
      <c r="X61" s="193"/>
      <c r="Y61" s="206" t="s">
        <v>212</v>
      </c>
      <c r="Z61" s="206" t="s">
        <v>212</v>
      </c>
      <c r="AA61" s="206" t="s">
        <v>212</v>
      </c>
      <c r="AB61" s="230" t="s">
        <v>231</v>
      </c>
      <c r="AC61" s="211" t="s">
        <v>233</v>
      </c>
      <c r="AD61" s="211" t="s">
        <v>233</v>
      </c>
      <c r="AE61" s="211" t="s">
        <v>5</v>
      </c>
      <c r="AF61" s="211" t="s">
        <v>5</v>
      </c>
      <c r="AG61" s="242" t="s">
        <v>129</v>
      </c>
      <c r="AH61" s="242" t="s">
        <v>129</v>
      </c>
      <c r="AI61" s="212" t="s">
        <v>211</v>
      </c>
    </row>
    <row r="62" spans="1:35" ht="12.75">
      <c r="A62" s="604" t="s">
        <v>180</v>
      </c>
      <c r="B62" s="186" t="str">
        <f>"Verzinsung "&amp;B39&amp;""</f>
        <v>Verzinsung Herstellungskosten </v>
      </c>
      <c r="C62" s="188"/>
      <c r="D62" s="188"/>
      <c r="E62" s="184"/>
      <c r="F62" s="620">
        <f>$E$58/(1-(POWER((1/(1+$E$58)),F46)))</f>
        <v>0.0802425871906913</v>
      </c>
      <c r="G62" s="1376">
        <f>(F62-(1/F46))*G39</f>
        <v>0</v>
      </c>
      <c r="H62" s="1377"/>
      <c r="I62" s="598"/>
      <c r="J62" s="598"/>
      <c r="K62" s="1368"/>
      <c r="L62" s="193"/>
      <c r="M62" s="193"/>
      <c r="N62" s="194"/>
      <c r="O62" s="205" t="s">
        <v>211</v>
      </c>
      <c r="P62" s="207" t="s">
        <v>221</v>
      </c>
      <c r="Q62" s="605" t="str">
        <f>$Q$7</f>
        <v>0-20Jahre</v>
      </c>
      <c r="R62" s="606" t="str">
        <f>$R$7</f>
        <v>21-20 Jahre</v>
      </c>
      <c r="S62" s="607">
        <f>$S$7</f>
        <v>1</v>
      </c>
      <c r="T62" s="607">
        <f>$T$7</f>
        <v>0</v>
      </c>
      <c r="U62" s="608" t="str">
        <f>$U$7</f>
        <v>0-20 Jahre</v>
      </c>
      <c r="V62" s="193"/>
      <c r="W62" s="193"/>
      <c r="X62" s="194"/>
      <c r="Y62" s="209" t="s">
        <v>211</v>
      </c>
      <c r="Z62" s="237">
        <f>$Z$7</f>
        <v>0.3</v>
      </c>
      <c r="AA62" s="238">
        <f>Z62</f>
        <v>0.3</v>
      </c>
      <c r="AB62" s="605" t="str">
        <f>"0-"&amp;G156&amp;"Jahre"</f>
        <v>0-Jahre</v>
      </c>
      <c r="AC62" s="609" t="str">
        <f>"bis "&amp;Z62*100&amp;"%"</f>
        <v>bis 30%</v>
      </c>
      <c r="AD62" s="609" t="str">
        <f>"über "&amp;AA62*100&amp;"%"</f>
        <v>über 30%</v>
      </c>
      <c r="AE62" s="609" t="str">
        <f>"bis "&amp;Z62*100&amp;"%"</f>
        <v>bis 30%</v>
      </c>
      <c r="AF62" s="609" t="str">
        <f>"über "&amp;AA62*100&amp;"%"</f>
        <v>über 30%</v>
      </c>
      <c r="AG62" s="1370">
        <f>$AG$7</f>
        <v>1</v>
      </c>
      <c r="AH62" s="1371"/>
      <c r="AI62" s="609" t="str">
        <f>$AI$7</f>
        <v>0-20 Jahre</v>
      </c>
    </row>
    <row r="63" spans="1:35" ht="12.75">
      <c r="A63" s="604" t="s">
        <v>180</v>
      </c>
      <c r="B63" s="186" t="str">
        <f>"Verzinsung "&amp;B40&amp;""</f>
        <v>Verzinsung Herstellungskosten </v>
      </c>
      <c r="C63" s="188"/>
      <c r="D63" s="188"/>
      <c r="E63" s="184"/>
      <c r="F63" s="620">
        <f>$E$58/(1-(POWER((1/(1+$E$58)),F47)))</f>
        <v>0.12950457496545661</v>
      </c>
      <c r="G63" s="1376">
        <f>(F63-(1/F47))*G40</f>
        <v>0</v>
      </c>
      <c r="H63" s="1377"/>
      <c r="I63" s="598"/>
      <c r="J63" s="598"/>
      <c r="K63" s="1368"/>
      <c r="L63" s="193" t="str">
        <f>$L$8</f>
        <v>Dachanlage</v>
      </c>
      <c r="M63" s="193"/>
      <c r="N63" s="194" t="s">
        <v>110</v>
      </c>
      <c r="O63" s="205" t="s">
        <v>126</v>
      </c>
      <c r="P63" s="205" t="s">
        <v>126</v>
      </c>
      <c r="Q63" s="231" t="s">
        <v>128</v>
      </c>
      <c r="R63" s="227" t="s">
        <v>128</v>
      </c>
      <c r="S63" s="201" t="s">
        <v>130</v>
      </c>
      <c r="T63" s="201" t="s">
        <v>130</v>
      </c>
      <c r="U63" s="201" t="s">
        <v>130</v>
      </c>
      <c r="V63" s="241"/>
      <c r="W63" s="193"/>
      <c r="X63" s="194" t="str">
        <f>N63</f>
        <v>Anteile</v>
      </c>
      <c r="Y63" s="210" t="s">
        <v>126</v>
      </c>
      <c r="Z63" s="210" t="s">
        <v>126</v>
      </c>
      <c r="AA63" s="210" t="s">
        <v>126</v>
      </c>
      <c r="AB63" s="231" t="s">
        <v>128</v>
      </c>
      <c r="AC63" s="231" t="s">
        <v>128</v>
      </c>
      <c r="AD63" s="231" t="s">
        <v>128</v>
      </c>
      <c r="AE63" s="231" t="s">
        <v>128</v>
      </c>
      <c r="AF63" s="231" t="s">
        <v>128</v>
      </c>
      <c r="AG63" s="201" t="s">
        <v>130</v>
      </c>
      <c r="AH63" s="201" t="s">
        <v>130</v>
      </c>
      <c r="AI63" s="201" t="s">
        <v>130</v>
      </c>
    </row>
    <row r="64" spans="1:35" ht="12.75">
      <c r="A64" s="604" t="s">
        <v>180</v>
      </c>
      <c r="B64" s="186" t="str">
        <f>"Verzinsung "&amp;B49&amp;""</f>
        <v>Verzinsung Herstellungskosten </v>
      </c>
      <c r="C64" s="188"/>
      <c r="D64" s="188"/>
      <c r="E64" s="184"/>
      <c r="F64" s="620">
        <f>$E$58/(1-(POWER((1/(1+$E$58)),F53)))</f>
        <v>0.0802425871906913</v>
      </c>
      <c r="G64" s="1376">
        <f>(F64-(1/F53))*G49</f>
        <v>0</v>
      </c>
      <c r="H64" s="1377"/>
      <c r="I64" s="598"/>
      <c r="J64" s="621"/>
      <c r="K64" s="1368"/>
      <c r="L64" s="1372">
        <f>$L$9</f>
        <v>10</v>
      </c>
      <c r="M64" s="1372"/>
      <c r="N64" s="198">
        <f>$N$9</f>
        <v>1</v>
      </c>
      <c r="O64" s="208">
        <f>$O$9</f>
        <v>0</v>
      </c>
      <c r="P64" s="208">
        <f>P68*N64</f>
        <v>0</v>
      </c>
      <c r="Q64" s="232">
        <f>$Q$9</f>
        <v>0.1275</v>
      </c>
      <c r="R64" s="228">
        <f>$R$9</f>
        <v>0.15</v>
      </c>
      <c r="S64" s="200">
        <f>P64*Q64*S62</f>
        <v>0</v>
      </c>
      <c r="T64" s="200">
        <f>P64*R64*T62</f>
        <v>0</v>
      </c>
      <c r="U64" s="200">
        <f>S64+T64</f>
        <v>0</v>
      </c>
      <c r="V64" s="246" t="s">
        <v>245</v>
      </c>
      <c r="W64" s="247">
        <f>L64</f>
        <v>10</v>
      </c>
      <c r="X64" s="198">
        <f>N64</f>
        <v>1</v>
      </c>
      <c r="Y64" s="208">
        <f>Y67*N64</f>
        <v>0</v>
      </c>
      <c r="Z64" s="208">
        <f>IF(O64=0,0,IF((Y64/O64)&gt;Z62,O64*Z62,Y64))</f>
        <v>0</v>
      </c>
      <c r="AA64" s="208">
        <f>IF(O64=0,0,IF((Y64/O64)&gt;Z62,Y64-(O64*Z62),0))</f>
        <v>0</v>
      </c>
      <c r="AB64" s="232">
        <f>$AB$9</f>
        <v>0.1275</v>
      </c>
      <c r="AC64" s="199">
        <f>$AC$9</f>
        <v>0</v>
      </c>
      <c r="AD64" s="199">
        <f>$AD$9</f>
        <v>0</v>
      </c>
      <c r="AE64" s="199">
        <f>IF($G$6&gt;$AB$4,0,IF($AB$5=3,0,AB64-AC64))</f>
        <v>0</v>
      </c>
      <c r="AF64" s="199">
        <f>IF($G$6&gt;$AB$4,0,IF($AB$5=3,0,AB64-AD64))</f>
        <v>0</v>
      </c>
      <c r="AG64" s="200">
        <f>Z64*AE64*AG62</f>
        <v>0</v>
      </c>
      <c r="AH64" s="200">
        <f>AA64*AF64*AG62</f>
        <v>0</v>
      </c>
      <c r="AI64" s="200">
        <f>AG64+AH64</f>
        <v>0</v>
      </c>
    </row>
    <row r="65" spans="1:35" ht="12.75">
      <c r="A65" s="604" t="s">
        <v>180</v>
      </c>
      <c r="B65" s="186" t="str">
        <f>"Verzinsung "&amp;B50&amp;""</f>
        <v>Verzinsung Herstellungskosten </v>
      </c>
      <c r="C65" s="188"/>
      <c r="D65" s="188"/>
      <c r="E65" s="184"/>
      <c r="F65" s="620">
        <f>$E$58/(1-(POWER((1/(1+$E$58)),F54)))</f>
        <v>0.0802425871906913</v>
      </c>
      <c r="G65" s="1376">
        <f>(F65-(1/F54))*G50</f>
        <v>0</v>
      </c>
      <c r="H65" s="1377"/>
      <c r="I65" s="598"/>
      <c r="J65" s="622"/>
      <c r="K65" s="1368"/>
      <c r="L65" s="1372">
        <f>$L$10</f>
        <v>40</v>
      </c>
      <c r="M65" s="1372"/>
      <c r="N65" s="198">
        <f>$N$10</f>
        <v>0</v>
      </c>
      <c r="O65" s="208">
        <f>$O$10</f>
        <v>0</v>
      </c>
      <c r="P65" s="208">
        <f>P68*N65</f>
        <v>0</v>
      </c>
      <c r="Q65" s="232">
        <f>$Q$10</f>
        <v>0.124</v>
      </c>
      <c r="R65" s="228">
        <f>$R$10</f>
        <v>0.15</v>
      </c>
      <c r="S65" s="200">
        <f>P65*Q65*S62</f>
        <v>0</v>
      </c>
      <c r="T65" s="200">
        <f>P65*R65*T62</f>
        <v>0</v>
      </c>
      <c r="U65" s="200">
        <f>S65+T65</f>
        <v>0</v>
      </c>
      <c r="V65" s="246" t="s">
        <v>245</v>
      </c>
      <c r="W65" s="247">
        <f>L65</f>
        <v>40</v>
      </c>
      <c r="X65" s="198">
        <f>N65</f>
        <v>0</v>
      </c>
      <c r="Y65" s="208">
        <f>Y67*N65</f>
        <v>0</v>
      </c>
      <c r="Z65" s="208">
        <f>IF(O65=0,0,IF((Y65/O65)&gt;Z62,O65*Z62,Y65))</f>
        <v>0</v>
      </c>
      <c r="AA65" s="208">
        <f>IF(O65=0,0,IF((Y65/O65)&gt;Z62,Y65-(O65*Z62),0))</f>
        <v>0</v>
      </c>
      <c r="AB65" s="232">
        <f>$AB$10</f>
        <v>0.124</v>
      </c>
      <c r="AC65" s="199">
        <f>$AC$10</f>
        <v>0</v>
      </c>
      <c r="AD65" s="199">
        <f>$AD$10</f>
        <v>0</v>
      </c>
      <c r="AE65" s="199">
        <f>IF($G$6&gt;$AB$4,0,IF($AB$5=3,0,AB65-AC65))</f>
        <v>0</v>
      </c>
      <c r="AF65" s="199">
        <f>IF($G$6&gt;$AB$4,0,IF($AB$5=3,0,AB65-AD65))</f>
        <v>0</v>
      </c>
      <c r="AG65" s="200">
        <f>Z65*AE65*AG62</f>
        <v>0</v>
      </c>
      <c r="AH65" s="200">
        <f>AA65*AF65*AG62</f>
        <v>0</v>
      </c>
      <c r="AI65" s="200">
        <f>AG65+AH65</f>
        <v>0</v>
      </c>
    </row>
    <row r="66" spans="1:35" ht="12.75">
      <c r="A66" s="604" t="s">
        <v>180</v>
      </c>
      <c r="B66" s="186" t="str">
        <f>"Verzinsung "&amp;B51&amp;""</f>
        <v>Verzinsung Herstellungskosten </v>
      </c>
      <c r="C66" s="188"/>
      <c r="D66" s="188"/>
      <c r="E66" s="184"/>
      <c r="F66" s="620">
        <f>$E$58/(1-(POWER((1/(1+$E$58)),F55)))</f>
        <v>0.12950457496545661</v>
      </c>
      <c r="G66" s="1376">
        <f>(F66-(1/F55))*G51</f>
        <v>0</v>
      </c>
      <c r="H66" s="1377"/>
      <c r="I66" s="598"/>
      <c r="J66" s="598"/>
      <c r="K66" s="1368"/>
      <c r="L66" s="1372">
        <f>$L$11</f>
        <v>1000</v>
      </c>
      <c r="M66" s="1372"/>
      <c r="N66" s="198">
        <f>$N$11</f>
        <v>0</v>
      </c>
      <c r="O66" s="208">
        <f>$O$11</f>
        <v>0</v>
      </c>
      <c r="P66" s="208">
        <f>P68*N66</f>
        <v>0</v>
      </c>
      <c r="Q66" s="232">
        <f>$Q$11</f>
        <v>0.1109</v>
      </c>
      <c r="R66" s="228">
        <f>$R$11</f>
        <v>0.15</v>
      </c>
      <c r="S66" s="200">
        <f>P66*Q66*S62</f>
        <v>0</v>
      </c>
      <c r="T66" s="200">
        <f>P66*R66*T62</f>
        <v>0</v>
      </c>
      <c r="U66" s="200">
        <f>S66+T66</f>
        <v>0</v>
      </c>
      <c r="V66" s="246" t="s">
        <v>245</v>
      </c>
      <c r="W66" s="248">
        <v>500</v>
      </c>
      <c r="X66" s="198">
        <f>N66</f>
        <v>0</v>
      </c>
      <c r="Y66" s="208">
        <f>Y67*N66</f>
        <v>0</v>
      </c>
      <c r="Z66" s="208">
        <f>IF(O66=0,0,IF((Y66/O66)&gt;Z62,O66*Z62,Y66))</f>
        <v>0</v>
      </c>
      <c r="AA66" s="208">
        <f>IF(O66=0,0,IF((Y66/O66)&gt;Z62,Y66-(O66*Z62),0))</f>
        <v>0</v>
      </c>
      <c r="AB66" s="232">
        <f>$AB$11</f>
        <v>0.1109</v>
      </c>
      <c r="AC66" s="199">
        <f>$AC$11</f>
        <v>0</v>
      </c>
      <c r="AD66" s="199">
        <f>$AD$11</f>
        <v>0</v>
      </c>
      <c r="AE66" s="199">
        <f>IF($G$6&gt;$AB$4,0,IF($AB$5=3,0,AB66-AC66))</f>
        <v>0</v>
      </c>
      <c r="AF66" s="199">
        <f>IF($G$6&gt;$AB$4,0,IF($AB$5=3,0,AB66-AD66))</f>
        <v>0</v>
      </c>
      <c r="AG66" s="200">
        <f>Z66*AE66*AG62</f>
        <v>0</v>
      </c>
      <c r="AH66" s="200">
        <f>AA66*AF66*AG62</f>
        <v>0</v>
      </c>
      <c r="AI66" s="200">
        <f>AG66+AH66</f>
        <v>0</v>
      </c>
    </row>
    <row r="67" spans="1:35" ht="12.75">
      <c r="A67" s="604" t="s">
        <v>180</v>
      </c>
      <c r="B67" s="186" t="s">
        <v>215</v>
      </c>
      <c r="C67" s="188"/>
      <c r="D67" s="188"/>
      <c r="E67" s="184"/>
      <c r="F67" s="184"/>
      <c r="G67" s="1378">
        <f>G43+G44+G45+G46+G47+G53+G54+G55+G58</f>
        <v>0</v>
      </c>
      <c r="H67" s="1377"/>
      <c r="I67" s="598"/>
      <c r="J67" s="598"/>
      <c r="K67" s="1368"/>
      <c r="L67" s="1373">
        <f>$L$12</f>
        <v>1000</v>
      </c>
      <c r="M67" s="1373"/>
      <c r="N67" s="198">
        <f>$N$12</f>
        <v>0</v>
      </c>
      <c r="O67" s="208">
        <f>$O$12</f>
        <v>0</v>
      </c>
      <c r="P67" s="208">
        <f>P68*N67</f>
        <v>0</v>
      </c>
      <c r="Q67" s="232">
        <f>$Q$12</f>
        <v>0</v>
      </c>
      <c r="R67" s="228">
        <f>$R$12</f>
        <v>0.15</v>
      </c>
      <c r="S67" s="200">
        <f>P67*Q67*S62</f>
        <v>0</v>
      </c>
      <c r="T67" s="200">
        <f>P67*R67*T62</f>
        <v>0</v>
      </c>
      <c r="U67" s="200">
        <f>S67+T67</f>
        <v>0</v>
      </c>
      <c r="V67" s="202"/>
      <c r="W67" s="203" t="str">
        <f>M68</f>
        <v> gesamt</v>
      </c>
      <c r="X67" s="204">
        <f>N68</f>
        <v>1</v>
      </c>
      <c r="Y67" s="213">
        <f>O68-P68</f>
        <v>0</v>
      </c>
      <c r="Z67" s="213">
        <f>SUM(Z64:Z66)</f>
        <v>0</v>
      </c>
      <c r="AA67" s="213">
        <f>SUM(AA64:AA66)</f>
        <v>0</v>
      </c>
      <c r="AB67" s="233"/>
      <c r="AC67" s="234"/>
      <c r="AD67" s="214"/>
      <c r="AE67" s="214"/>
      <c r="AF67" s="214"/>
      <c r="AG67" s="214">
        <f>SUM(AG64:AG66)</f>
        <v>0</v>
      </c>
      <c r="AH67" s="214">
        <f>SUM(AH64:AH66)</f>
        <v>0</v>
      </c>
      <c r="AI67" s="234">
        <f>SUM(AI64:AI66)</f>
        <v>0</v>
      </c>
    </row>
    <row r="68" spans="1:35" ht="12.75">
      <c r="A68" s="604" t="s">
        <v>180</v>
      </c>
      <c r="B68" s="192" t="str">
        <f>"Verbrauchsgeb. Kosten: "&amp;Kalkulation_Eigenstrom!AP63&amp;""</f>
        <v>Verbrauchsgeb. Kosten: Hilfsstrom</v>
      </c>
      <c r="C68" s="188"/>
      <c r="D68" s="188"/>
      <c r="E68" s="184"/>
      <c r="F68" s="184"/>
      <c r="G68" s="1381">
        <f>Kalkulation_Eigenstrom!AY63</f>
        <v>0</v>
      </c>
      <c r="H68" s="1382"/>
      <c r="I68" s="598"/>
      <c r="J68" s="598"/>
      <c r="K68" s="1368"/>
      <c r="L68" s="202"/>
      <c r="M68" s="203" t="s">
        <v>223</v>
      </c>
      <c r="N68" s="204">
        <f>SUM(N64:N67)</f>
        <v>1</v>
      </c>
      <c r="O68" s="213">
        <f>$O$13</f>
        <v>0</v>
      </c>
      <c r="P68" s="213">
        <f>O68*(1-K61)</f>
        <v>0</v>
      </c>
      <c r="Q68" s="233"/>
      <c r="R68" s="229"/>
      <c r="S68" s="214">
        <f>SUM(S64:S67)</f>
        <v>0</v>
      </c>
      <c r="T68" s="214">
        <f>SUM(T64:T67)</f>
        <v>0</v>
      </c>
      <c r="U68" s="214">
        <f>SUM(U64:U67)</f>
        <v>0</v>
      </c>
      <c r="V68" s="195"/>
      <c r="W68" s="196"/>
      <c r="X68" s="197"/>
      <c r="Y68" s="197"/>
      <c r="Z68" s="1374">
        <f>Z67+AA67</f>
        <v>0</v>
      </c>
      <c r="AA68" s="1375"/>
      <c r="AB68" s="215"/>
      <c r="AC68" s="215"/>
      <c r="AD68" s="195"/>
      <c r="AE68" s="195"/>
      <c r="AF68" s="195"/>
      <c r="AG68" s="1374">
        <f>AG67+AH67</f>
        <v>0</v>
      </c>
      <c r="AH68" s="1375"/>
      <c r="AI68" s="215"/>
    </row>
    <row r="69" spans="1:35" ht="12.75">
      <c r="A69" s="604" t="s">
        <v>180</v>
      </c>
      <c r="B69" s="192" t="str">
        <f>"Verbrauchsgeb. Kosten: "&amp;Kalkulation_Eigenstrom!AP65&amp;""</f>
        <v>Verbrauchsgeb. Kosten: </v>
      </c>
      <c r="C69" s="188"/>
      <c r="D69" s="188"/>
      <c r="E69" s="184"/>
      <c r="F69" s="184"/>
      <c r="G69" s="1381">
        <f>Kalkulation_Eigenstrom!AY65</f>
        <v>0</v>
      </c>
      <c r="H69" s="1382"/>
      <c r="I69" s="598"/>
      <c r="J69" s="598"/>
      <c r="K69" s="1369"/>
      <c r="L69" s="195"/>
      <c r="M69" s="196" t="s">
        <v>213</v>
      </c>
      <c r="N69" s="611"/>
      <c r="O69" s="197">
        <f>SUM(O64:O67)</f>
        <v>0</v>
      </c>
      <c r="P69" s="197">
        <f>SUM(P64:P67)</f>
        <v>0</v>
      </c>
      <c r="Q69" s="215"/>
      <c r="R69" s="215"/>
      <c r="S69" s="1374">
        <f>S68+T68</f>
        <v>0</v>
      </c>
      <c r="T69" s="1375"/>
      <c r="U69" s="243"/>
      <c r="V69" s="612"/>
      <c r="W69" s="598"/>
      <c r="X69" s="612"/>
      <c r="Y69" s="612"/>
      <c r="Z69" s="612"/>
      <c r="AA69" s="598"/>
      <c r="AB69" s="613">
        <f>IF(O68=0,0,Z67/O68)</f>
        <v>0</v>
      </c>
      <c r="AC69" s="613">
        <f>IF(O68=0,0,AA67/O68)</f>
        <v>0</v>
      </c>
      <c r="AD69" s="612"/>
      <c r="AE69" s="598"/>
      <c r="AF69" s="612"/>
      <c r="AG69" s="598"/>
      <c r="AH69" s="598"/>
      <c r="AI69" s="612"/>
    </row>
    <row r="70" spans="1:35" ht="12.75">
      <c r="A70" s="604" t="s">
        <v>180</v>
      </c>
      <c r="B70" s="192" t="str">
        <f>"Verbrauchsgeb. Kosten: "&amp;Kalkulation_Eigenstrom!AP67&amp;""</f>
        <v>Verbrauchsgeb. Kosten: </v>
      </c>
      <c r="C70" s="188"/>
      <c r="D70" s="188"/>
      <c r="E70" s="184"/>
      <c r="F70" s="184"/>
      <c r="G70" s="1381">
        <f>Kalkulation_Eigenstrom!AY67</f>
        <v>0</v>
      </c>
      <c r="H70" s="1382"/>
      <c r="I70" s="598"/>
      <c r="J70" s="598"/>
      <c r="K70" s="598"/>
      <c r="L70" s="216"/>
      <c r="M70" s="216"/>
      <c r="N70" s="217"/>
      <c r="O70" s="218"/>
      <c r="P70" s="219"/>
      <c r="Q70" s="220"/>
      <c r="R70" s="221"/>
      <c r="S70" s="222"/>
      <c r="T70" s="223"/>
      <c r="U70" s="224"/>
      <c r="V70" s="612"/>
      <c r="W70" s="598"/>
      <c r="X70" s="612"/>
      <c r="Y70" s="612"/>
      <c r="Z70" s="612"/>
      <c r="AA70" s="598"/>
      <c r="AB70" s="1365">
        <f>AB69+AC69</f>
        <v>0</v>
      </c>
      <c r="AC70" s="1366"/>
      <c r="AD70" s="614"/>
      <c r="AE70" s="598"/>
      <c r="AF70" s="612"/>
      <c r="AG70" s="598"/>
      <c r="AH70" s="598"/>
      <c r="AI70" s="598"/>
    </row>
    <row r="71" spans="1:35" ht="12.75">
      <c r="A71" s="604" t="s">
        <v>180</v>
      </c>
      <c r="B71" s="186" t="s">
        <v>218</v>
      </c>
      <c r="C71" s="188"/>
      <c r="D71" s="188"/>
      <c r="E71" s="184"/>
      <c r="F71" s="184"/>
      <c r="G71" s="1378">
        <f>G68+G69+G70</f>
        <v>0</v>
      </c>
      <c r="H71" s="1377"/>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603"/>
      <c r="AH71" s="603"/>
      <c r="AI71" s="598"/>
    </row>
    <row r="72" spans="1:35" ht="12.75">
      <c r="A72" s="604" t="s">
        <v>180</v>
      </c>
      <c r="B72" s="186" t="str">
        <f>"Betriebssgeb. Kosten: "&amp;Kalkulation_Eigenstrom!AP71&amp;""</f>
        <v>Betriebssgeb. Kosten: Wartung / Instandhalt. Technik</v>
      </c>
      <c r="C72" s="188"/>
      <c r="D72" s="188"/>
      <c r="E72" s="184"/>
      <c r="G72" s="1381">
        <f>Kalkulation_Eigenstrom!AY71</f>
        <v>0</v>
      </c>
      <c r="H72" s="1382"/>
      <c r="I72" s="623">
        <v>0.005</v>
      </c>
      <c r="J72" s="598"/>
      <c r="K72" s="1367">
        <v>0.4</v>
      </c>
      <c r="L72" s="235" t="s">
        <v>220</v>
      </c>
      <c r="M72" s="193"/>
      <c r="N72" s="193"/>
      <c r="O72" s="205" t="s">
        <v>125</v>
      </c>
      <c r="P72" s="206" t="s">
        <v>222</v>
      </c>
      <c r="Q72" s="230" t="s">
        <v>5</v>
      </c>
      <c r="R72" s="226" t="s">
        <v>232</v>
      </c>
      <c r="S72" s="212" t="s">
        <v>129</v>
      </c>
      <c r="T72" s="212" t="s">
        <v>129</v>
      </c>
      <c r="U72" s="212" t="s">
        <v>211</v>
      </c>
      <c r="V72" s="235" t="s">
        <v>229</v>
      </c>
      <c r="W72" s="193"/>
      <c r="X72" s="193"/>
      <c r="Y72" s="206" t="s">
        <v>212</v>
      </c>
      <c r="Z72" s="206" t="s">
        <v>212</v>
      </c>
      <c r="AA72" s="206" t="s">
        <v>212</v>
      </c>
      <c r="AB72" s="230" t="s">
        <v>231</v>
      </c>
      <c r="AC72" s="211" t="s">
        <v>233</v>
      </c>
      <c r="AD72" s="211" t="s">
        <v>233</v>
      </c>
      <c r="AE72" s="211" t="s">
        <v>5</v>
      </c>
      <c r="AF72" s="211" t="s">
        <v>5</v>
      </c>
      <c r="AG72" s="242" t="s">
        <v>129</v>
      </c>
      <c r="AH72" s="242" t="s">
        <v>129</v>
      </c>
      <c r="AI72" s="212" t="s">
        <v>211</v>
      </c>
    </row>
    <row r="73" spans="1:35" ht="12.75">
      <c r="A73" s="604" t="s">
        <v>180</v>
      </c>
      <c r="B73" s="186" t="str">
        <f>"Betriebssgeb. Kosten: "&amp;Kalkulation_Eigenstrom!AP73&amp;""</f>
        <v>Betriebssgeb. Kosten: Zählermiete (an Netzbetreiber)</v>
      </c>
      <c r="C73" s="188"/>
      <c r="D73" s="188"/>
      <c r="E73" s="184"/>
      <c r="F73" s="184"/>
      <c r="G73" s="1381">
        <f>Kalkulation_Eigenstrom!AY73</f>
        <v>0</v>
      </c>
      <c r="H73" s="1382"/>
      <c r="I73" s="624">
        <f>ROUNDUP(G57*I72,0)</f>
        <v>0</v>
      </c>
      <c r="J73" s="598"/>
      <c r="K73" s="1368"/>
      <c r="L73" s="193"/>
      <c r="M73" s="193"/>
      <c r="N73" s="194"/>
      <c r="O73" s="205" t="s">
        <v>211</v>
      </c>
      <c r="P73" s="207" t="s">
        <v>221</v>
      </c>
      <c r="Q73" s="605" t="str">
        <f>$Q$7</f>
        <v>0-20Jahre</v>
      </c>
      <c r="R73" s="606" t="str">
        <f>$R$7</f>
        <v>21-20 Jahre</v>
      </c>
      <c r="S73" s="607">
        <f>$S$7</f>
        <v>1</v>
      </c>
      <c r="T73" s="607">
        <f>$T$7</f>
        <v>0</v>
      </c>
      <c r="U73" s="608" t="str">
        <f>$U$7</f>
        <v>0-20 Jahre</v>
      </c>
      <c r="V73" s="193"/>
      <c r="W73" s="193"/>
      <c r="X73" s="194"/>
      <c r="Y73" s="209" t="s">
        <v>211</v>
      </c>
      <c r="Z73" s="237">
        <f>$Z$7</f>
        <v>0.3</v>
      </c>
      <c r="AA73" s="238">
        <f>Z73</f>
        <v>0.3</v>
      </c>
      <c r="AB73" s="605" t="str">
        <f>"0-"&amp;G167&amp;"Jahre"</f>
        <v>0-Jahre</v>
      </c>
      <c r="AC73" s="609" t="str">
        <f>"bis "&amp;Z73*100&amp;"%"</f>
        <v>bis 30%</v>
      </c>
      <c r="AD73" s="609" t="str">
        <f>"über "&amp;AA73*100&amp;"%"</f>
        <v>über 30%</v>
      </c>
      <c r="AE73" s="609" t="str">
        <f>"bis "&amp;Z73*100&amp;"%"</f>
        <v>bis 30%</v>
      </c>
      <c r="AF73" s="609" t="str">
        <f>"über "&amp;AA73*100&amp;"%"</f>
        <v>über 30%</v>
      </c>
      <c r="AG73" s="1370">
        <f>$AG$7</f>
        <v>1</v>
      </c>
      <c r="AH73" s="1371"/>
      <c r="AI73" s="609" t="str">
        <f>$AI$7</f>
        <v>0-20 Jahre</v>
      </c>
    </row>
    <row r="74" spans="1:35" ht="12.75">
      <c r="A74" s="604" t="s">
        <v>180</v>
      </c>
      <c r="B74" s="186" t="str">
        <f>"Betriebssgeb. Kosten: "&amp;Kalkulation_Eigenstrom!AP75&amp;""</f>
        <v>Betriebssgeb. Kosten: </v>
      </c>
      <c r="C74" s="188"/>
      <c r="D74" s="188"/>
      <c r="E74" s="184"/>
      <c r="F74" s="184"/>
      <c r="G74" s="1381">
        <f>Kalkulation_Eigenstrom!AY75</f>
        <v>0</v>
      </c>
      <c r="H74" s="1382"/>
      <c r="I74" s="598"/>
      <c r="J74" s="598"/>
      <c r="K74" s="1368"/>
      <c r="L74" s="193" t="str">
        <f>$L$8</f>
        <v>Dachanlage</v>
      </c>
      <c r="M74" s="193"/>
      <c r="N74" s="194" t="s">
        <v>110</v>
      </c>
      <c r="O74" s="205" t="s">
        <v>126</v>
      </c>
      <c r="P74" s="205" t="s">
        <v>126</v>
      </c>
      <c r="Q74" s="231" t="s">
        <v>128</v>
      </c>
      <c r="R74" s="227" t="s">
        <v>128</v>
      </c>
      <c r="S74" s="201" t="s">
        <v>130</v>
      </c>
      <c r="T74" s="201" t="s">
        <v>130</v>
      </c>
      <c r="U74" s="201" t="s">
        <v>130</v>
      </c>
      <c r="V74" s="241"/>
      <c r="W74" s="193"/>
      <c r="X74" s="194" t="str">
        <f>N74</f>
        <v>Anteile</v>
      </c>
      <c r="Y74" s="210" t="s">
        <v>126</v>
      </c>
      <c r="Z74" s="210" t="s">
        <v>126</v>
      </c>
      <c r="AA74" s="210" t="s">
        <v>126</v>
      </c>
      <c r="AB74" s="231" t="s">
        <v>128</v>
      </c>
      <c r="AC74" s="231" t="s">
        <v>128</v>
      </c>
      <c r="AD74" s="231" t="s">
        <v>128</v>
      </c>
      <c r="AE74" s="231" t="s">
        <v>128</v>
      </c>
      <c r="AF74" s="231" t="s">
        <v>128</v>
      </c>
      <c r="AG74" s="201" t="s">
        <v>130</v>
      </c>
      <c r="AH74" s="201" t="s">
        <v>130</v>
      </c>
      <c r="AI74" s="201" t="s">
        <v>130</v>
      </c>
    </row>
    <row r="75" spans="1:35" ht="12.75">
      <c r="A75" s="604" t="s">
        <v>180</v>
      </c>
      <c r="B75" s="186" t="s">
        <v>216</v>
      </c>
      <c r="C75" s="188"/>
      <c r="D75" s="188"/>
      <c r="E75" s="184"/>
      <c r="F75" s="184"/>
      <c r="G75" s="1378">
        <f>G72+G73+G74</f>
        <v>0</v>
      </c>
      <c r="H75" s="1377"/>
      <c r="I75" s="598"/>
      <c r="J75" s="598"/>
      <c r="K75" s="1368"/>
      <c r="L75" s="1372">
        <f>$L$9</f>
        <v>10</v>
      </c>
      <c r="M75" s="1372"/>
      <c r="N75" s="198">
        <f>$N$9</f>
        <v>1</v>
      </c>
      <c r="O75" s="208">
        <f>$O$9</f>
        <v>0</v>
      </c>
      <c r="P75" s="208">
        <f>P79*N75</f>
        <v>0</v>
      </c>
      <c r="Q75" s="232">
        <f>$Q$9</f>
        <v>0.1275</v>
      </c>
      <c r="R75" s="228">
        <f>$R$9</f>
        <v>0.15</v>
      </c>
      <c r="S75" s="200">
        <f>P75*Q75*S73</f>
        <v>0</v>
      </c>
      <c r="T75" s="200">
        <f>P75*R75*T73</f>
        <v>0</v>
      </c>
      <c r="U75" s="200">
        <f>S75+T75</f>
        <v>0</v>
      </c>
      <c r="V75" s="246" t="s">
        <v>245</v>
      </c>
      <c r="W75" s="247">
        <f>L75</f>
        <v>10</v>
      </c>
      <c r="X75" s="198">
        <f>N75</f>
        <v>1</v>
      </c>
      <c r="Y75" s="208">
        <f>Y78*N75</f>
        <v>0</v>
      </c>
      <c r="Z75" s="208">
        <f>IF(O75=0,0,IF((Y75/O75)&gt;Z73,O75*Z73,Y75))</f>
        <v>0</v>
      </c>
      <c r="AA75" s="208">
        <f>IF(O75=0,0,IF((Y75/O75)&gt;Z73,Y75-(O75*Z73),0))</f>
        <v>0</v>
      </c>
      <c r="AB75" s="232">
        <f>$AB$9</f>
        <v>0.1275</v>
      </c>
      <c r="AC75" s="199">
        <f>$AC$9</f>
        <v>0</v>
      </c>
      <c r="AD75" s="199">
        <f>$AD$9</f>
        <v>0</v>
      </c>
      <c r="AE75" s="199">
        <f>IF($G$6&gt;$AB$4,0,IF($AB$5=3,0,AB75-AC75))</f>
        <v>0</v>
      </c>
      <c r="AF75" s="199">
        <f>IF($G$6&gt;$AB$4,0,IF($AB$5=3,0,AB75-AD75))</f>
        <v>0</v>
      </c>
      <c r="AG75" s="200">
        <f>Z75*AE75*AG73</f>
        <v>0</v>
      </c>
      <c r="AH75" s="200">
        <f>AA75*AF75*AG73</f>
        <v>0</v>
      </c>
      <c r="AI75" s="200">
        <f>AG75+AH75</f>
        <v>0</v>
      </c>
    </row>
    <row r="76" spans="1:35" ht="12.75">
      <c r="A76" s="604" t="s">
        <v>180</v>
      </c>
      <c r="B76" s="186" t="str">
        <f>"Sonstige Kosten: "&amp;Kalkulation_Eigenstrom!AP79&amp;""</f>
        <v>Sonstige Kosten: PV-Versicherung</v>
      </c>
      <c r="C76" s="188"/>
      <c r="D76" s="188"/>
      <c r="E76" s="184"/>
      <c r="F76" s="184"/>
      <c r="G76" s="1381">
        <f>Kalkulation_Eigenstrom!AY79</f>
        <v>0</v>
      </c>
      <c r="H76" s="1382"/>
      <c r="I76" s="623">
        <v>0.003</v>
      </c>
      <c r="J76" s="598"/>
      <c r="K76" s="1368"/>
      <c r="L76" s="1372">
        <f>$L$10</f>
        <v>40</v>
      </c>
      <c r="M76" s="1372"/>
      <c r="N76" s="198">
        <f>$N$10</f>
        <v>0</v>
      </c>
      <c r="O76" s="208">
        <f>$O$10</f>
        <v>0</v>
      </c>
      <c r="P76" s="208">
        <f>P79*N76</f>
        <v>0</v>
      </c>
      <c r="Q76" s="232">
        <f>$Q$10</f>
        <v>0.124</v>
      </c>
      <c r="R76" s="228">
        <f>$R$10</f>
        <v>0.15</v>
      </c>
      <c r="S76" s="200">
        <f>P76*Q76*S73</f>
        <v>0</v>
      </c>
      <c r="T76" s="200">
        <f>P76*R76*T73</f>
        <v>0</v>
      </c>
      <c r="U76" s="200">
        <f>S76+T76</f>
        <v>0</v>
      </c>
      <c r="V76" s="246" t="s">
        <v>245</v>
      </c>
      <c r="W76" s="247">
        <f>L76</f>
        <v>40</v>
      </c>
      <c r="X76" s="198">
        <f>N76</f>
        <v>0</v>
      </c>
      <c r="Y76" s="208">
        <f>Y78*N76</f>
        <v>0</v>
      </c>
      <c r="Z76" s="208">
        <f>IF(O76=0,0,IF((Y76/O76)&gt;Z73,O76*Z73,Y76))</f>
        <v>0</v>
      </c>
      <c r="AA76" s="208">
        <f>IF(O76=0,0,IF((Y76/O76)&gt;Z73,Y76-(O76*Z73),0))</f>
        <v>0</v>
      </c>
      <c r="AB76" s="232">
        <f>$AB$10</f>
        <v>0.124</v>
      </c>
      <c r="AC76" s="199">
        <f>$AC$10</f>
        <v>0</v>
      </c>
      <c r="AD76" s="199">
        <f>$AD$10</f>
        <v>0</v>
      </c>
      <c r="AE76" s="199">
        <f>IF($G$6&gt;$AB$4,0,IF($AB$5=3,0,AB76-AC76))</f>
        <v>0</v>
      </c>
      <c r="AF76" s="199">
        <f>IF($G$6&gt;$AB$4,0,IF($AB$5=3,0,AB76-AD76))</f>
        <v>0</v>
      </c>
      <c r="AG76" s="200">
        <f>Z76*AE76*AG73</f>
        <v>0</v>
      </c>
      <c r="AH76" s="200">
        <f>AA76*AF76*AG73</f>
        <v>0</v>
      </c>
      <c r="AI76" s="200">
        <f>AG76+AH76</f>
        <v>0</v>
      </c>
    </row>
    <row r="77" spans="1:35" ht="12.75">
      <c r="A77" s="604" t="s">
        <v>180</v>
      </c>
      <c r="B77" s="186" t="str">
        <f>"Sonstige Kosten: "&amp;Kalkulation_Eigenstrom!AP81&amp;""</f>
        <v>Sonstige Kosten: Steuererklärungen (Umsatz- / Ertragsteuer)</v>
      </c>
      <c r="C77" s="188"/>
      <c r="D77" s="188"/>
      <c r="E77" s="184"/>
      <c r="F77" s="184"/>
      <c r="G77" s="1381">
        <f>Kalkulation_Eigenstrom!AY81</f>
        <v>0</v>
      </c>
      <c r="H77" s="1382"/>
      <c r="I77" s="624">
        <f>ROUNDUP(G57*I76,0)</f>
        <v>0</v>
      </c>
      <c r="J77" s="598"/>
      <c r="K77" s="1368"/>
      <c r="L77" s="1372">
        <f>$L$11</f>
        <v>1000</v>
      </c>
      <c r="M77" s="1372"/>
      <c r="N77" s="198">
        <f>$N$11</f>
        <v>0</v>
      </c>
      <c r="O77" s="208">
        <f>$O$11</f>
        <v>0</v>
      </c>
      <c r="P77" s="208">
        <f>P79*N77</f>
        <v>0</v>
      </c>
      <c r="Q77" s="232">
        <f>$Q$11</f>
        <v>0.1109</v>
      </c>
      <c r="R77" s="228">
        <f>$R$11</f>
        <v>0.15</v>
      </c>
      <c r="S77" s="200">
        <f>P77*Q77*S73</f>
        <v>0</v>
      </c>
      <c r="T77" s="200">
        <f>P77*R77*T73</f>
        <v>0</v>
      </c>
      <c r="U77" s="200">
        <f>S77+T77</f>
        <v>0</v>
      </c>
      <c r="V77" s="246" t="s">
        <v>245</v>
      </c>
      <c r="W77" s="248">
        <v>500</v>
      </c>
      <c r="X77" s="198">
        <f>N77</f>
        <v>0</v>
      </c>
      <c r="Y77" s="208">
        <f>Y78*N77</f>
        <v>0</v>
      </c>
      <c r="Z77" s="208">
        <f>IF(O77=0,0,IF((Y77/O77)&gt;Z73,O77*Z73,Y77))</f>
        <v>0</v>
      </c>
      <c r="AA77" s="208">
        <f>IF(O77=0,0,IF((Y77/O77)&gt;Z73,Y77-(O77*Z73),0))</f>
        <v>0</v>
      </c>
      <c r="AB77" s="232">
        <f>$AB$11</f>
        <v>0.1109</v>
      </c>
      <c r="AC77" s="199">
        <f>$AC$11</f>
        <v>0</v>
      </c>
      <c r="AD77" s="199">
        <f>$AD$11</f>
        <v>0</v>
      </c>
      <c r="AE77" s="199">
        <f>IF($G$6&gt;$AB$4,0,IF($AB$5=3,0,AB77-AC77))</f>
        <v>0</v>
      </c>
      <c r="AF77" s="199">
        <f>IF($G$6&gt;$AB$4,0,IF($AB$5=3,0,AB77-AD77))</f>
        <v>0</v>
      </c>
      <c r="AG77" s="200">
        <f>Z77*AE77*AG73</f>
        <v>0</v>
      </c>
      <c r="AH77" s="200">
        <f>AA77*AF77*AG73</f>
        <v>0</v>
      </c>
      <c r="AI77" s="200">
        <f>AG77+AH77</f>
        <v>0</v>
      </c>
    </row>
    <row r="78" spans="1:35" ht="12.75">
      <c r="A78" s="604" t="s">
        <v>180</v>
      </c>
      <c r="B78" s="186" t="s">
        <v>7</v>
      </c>
      <c r="C78" s="188"/>
      <c r="D78" s="188"/>
      <c r="E78" s="184"/>
      <c r="F78" s="184"/>
      <c r="G78" s="1378">
        <f>G76+G77</f>
        <v>0</v>
      </c>
      <c r="H78" s="1377"/>
      <c r="I78" s="598"/>
      <c r="J78" s="598"/>
      <c r="K78" s="1368"/>
      <c r="L78" s="1373">
        <f>$L$12</f>
        <v>1000</v>
      </c>
      <c r="M78" s="1373"/>
      <c r="N78" s="198">
        <f>$N$12</f>
        <v>0</v>
      </c>
      <c r="O78" s="208">
        <f>$O$12</f>
        <v>0</v>
      </c>
      <c r="P78" s="208">
        <f>P79*N78</f>
        <v>0</v>
      </c>
      <c r="Q78" s="232">
        <f>$Q$12</f>
        <v>0</v>
      </c>
      <c r="R78" s="228">
        <f>$R$12</f>
        <v>0.15</v>
      </c>
      <c r="S78" s="200">
        <f>P78*Q78*S73</f>
        <v>0</v>
      </c>
      <c r="T78" s="200">
        <f>P78*R78*T73</f>
        <v>0</v>
      </c>
      <c r="U78" s="200">
        <f>S78+T78</f>
        <v>0</v>
      </c>
      <c r="V78" s="202"/>
      <c r="W78" s="203" t="str">
        <f>M79</f>
        <v> gesamt</v>
      </c>
      <c r="X78" s="204">
        <f>N79</f>
        <v>1</v>
      </c>
      <c r="Y78" s="213">
        <f>O79-P79</f>
        <v>0</v>
      </c>
      <c r="Z78" s="213">
        <f>SUM(Z75:Z77)</f>
        <v>0</v>
      </c>
      <c r="AA78" s="213">
        <f>SUM(AA75:AA77)</f>
        <v>0</v>
      </c>
      <c r="AB78" s="233"/>
      <c r="AC78" s="234"/>
      <c r="AD78" s="214"/>
      <c r="AE78" s="214"/>
      <c r="AF78" s="214"/>
      <c r="AG78" s="214">
        <f>SUM(AG75:AG77)</f>
        <v>0</v>
      </c>
      <c r="AH78" s="214">
        <f>SUM(AH75:AH77)</f>
        <v>0</v>
      </c>
      <c r="AI78" s="234">
        <f>SUM(AI75:AI77)</f>
        <v>0</v>
      </c>
    </row>
    <row r="79" spans="1:35" ht="12.75">
      <c r="A79" s="604" t="s">
        <v>180</v>
      </c>
      <c r="B79" s="192" t="s">
        <v>329</v>
      </c>
      <c r="C79" s="188"/>
      <c r="D79" s="188"/>
      <c r="E79" s="184"/>
      <c r="F79" s="184"/>
      <c r="G79" s="1378">
        <f>G67+G71+G75+G78</f>
        <v>0</v>
      </c>
      <c r="H79" s="1377"/>
      <c r="I79" s="598"/>
      <c r="J79" s="598"/>
      <c r="K79" s="1368"/>
      <c r="L79" s="202"/>
      <c r="M79" s="203" t="s">
        <v>223</v>
      </c>
      <c r="N79" s="204">
        <f>SUM(N75:N78)</f>
        <v>1</v>
      </c>
      <c r="O79" s="213">
        <f>$O$13</f>
        <v>0</v>
      </c>
      <c r="P79" s="213">
        <f>O79*(1-K72)</f>
        <v>0</v>
      </c>
      <c r="Q79" s="233"/>
      <c r="R79" s="229"/>
      <c r="S79" s="214">
        <f>SUM(S75:S78)</f>
        <v>0</v>
      </c>
      <c r="T79" s="214">
        <f>SUM(T75:T78)</f>
        <v>0</v>
      </c>
      <c r="U79" s="214">
        <f>SUM(U75:U78)</f>
        <v>0</v>
      </c>
      <c r="V79" s="195"/>
      <c r="W79" s="196"/>
      <c r="X79" s="197"/>
      <c r="Y79" s="197"/>
      <c r="Z79" s="1374">
        <f>Z78+AA78</f>
        <v>0</v>
      </c>
      <c r="AA79" s="1375"/>
      <c r="AB79" s="215"/>
      <c r="AC79" s="215"/>
      <c r="AD79" s="195"/>
      <c r="AE79" s="195"/>
      <c r="AF79" s="195"/>
      <c r="AG79" s="1374">
        <f>AG78+AH78</f>
        <v>0</v>
      </c>
      <c r="AH79" s="1375"/>
      <c r="AI79" s="215"/>
    </row>
    <row r="80" spans="1:35" ht="12.75">
      <c r="A80" s="604" t="s">
        <v>180</v>
      </c>
      <c r="B80" s="186" t="str">
        <f>"durchschn.jährl.Vergütung für verkauften Strom von 0 bis "&amp;G90&amp;"Jahre"</f>
        <v>durchschn.jährl.Vergütung für verkauften Strom von 0 bis 20Jahre</v>
      </c>
      <c r="C80" s="188"/>
      <c r="D80" s="188"/>
      <c r="E80" s="184"/>
      <c r="F80" s="184"/>
      <c r="G80" s="1378">
        <f>S13</f>
        <v>0</v>
      </c>
      <c r="H80" s="1377"/>
      <c r="I80" s="598"/>
      <c r="J80" s="598"/>
      <c r="K80" s="1369"/>
      <c r="L80" s="195"/>
      <c r="M80" s="196" t="s">
        <v>213</v>
      </c>
      <c r="N80" s="611"/>
      <c r="O80" s="197">
        <f>SUM(O75:O78)</f>
        <v>0</v>
      </c>
      <c r="P80" s="197">
        <f>SUM(P75:P78)</f>
        <v>0</v>
      </c>
      <c r="Q80" s="215"/>
      <c r="R80" s="215"/>
      <c r="S80" s="1374">
        <f>S79+T79</f>
        <v>0</v>
      </c>
      <c r="T80" s="1375"/>
      <c r="U80" s="243"/>
      <c r="V80" s="612"/>
      <c r="W80" s="598"/>
      <c r="X80" s="612"/>
      <c r="Y80" s="612"/>
      <c r="Z80" s="612"/>
      <c r="AA80" s="598"/>
      <c r="AB80" s="613">
        <f>IF(O79=0,0,Z78/O79)</f>
        <v>0</v>
      </c>
      <c r="AC80" s="613">
        <f>IF(O79=0,0,AA78/O79)</f>
        <v>0</v>
      </c>
      <c r="AD80" s="612"/>
      <c r="AE80" s="598"/>
      <c r="AF80" s="612"/>
      <c r="AG80" s="598"/>
      <c r="AH80" s="598"/>
      <c r="AI80" s="612"/>
    </row>
    <row r="81" spans="1:35" ht="12.75">
      <c r="A81" s="604" t="s">
        <v>180</v>
      </c>
      <c r="B81" s="186" t="str">
        <f>"durchschn.jährl.Vergütung für verkauften Strom von "&amp;G90&amp;" bis "&amp;G89&amp;"Jahre"</f>
        <v>durchschn.jährl.Vergütung für verkauften Strom von 20 bis 20Jahre</v>
      </c>
      <c r="C81" s="188"/>
      <c r="D81" s="188"/>
      <c r="E81" s="184"/>
      <c r="F81" s="184"/>
      <c r="G81" s="1378">
        <f>T13</f>
        <v>0</v>
      </c>
      <c r="H81" s="1377"/>
      <c r="I81" s="598"/>
      <c r="J81" s="598"/>
      <c r="K81" s="598"/>
      <c r="L81" s="216"/>
      <c r="M81" s="216"/>
      <c r="N81" s="217"/>
      <c r="O81" s="218"/>
      <c r="P81" s="219"/>
      <c r="Q81" s="220"/>
      <c r="R81" s="221"/>
      <c r="S81" s="222"/>
      <c r="T81" s="223"/>
      <c r="U81" s="224"/>
      <c r="V81" s="612"/>
      <c r="W81" s="598"/>
      <c r="X81" s="612"/>
      <c r="Y81" s="612"/>
      <c r="Z81" s="612"/>
      <c r="AA81" s="598"/>
      <c r="AB81" s="1365">
        <f>AB80+AC80</f>
        <v>0</v>
      </c>
      <c r="AC81" s="1366"/>
      <c r="AD81" s="614"/>
      <c r="AE81" s="598"/>
      <c r="AF81" s="612"/>
      <c r="AG81" s="598"/>
      <c r="AH81" s="598"/>
      <c r="AI81" s="598"/>
    </row>
    <row r="82" spans="1:35" ht="12.75">
      <c r="A82" s="604" t="s">
        <v>180</v>
      </c>
      <c r="B82" s="192" t="str">
        <f>Kalkulation_Eigenstrom!BE34</f>
        <v>Erlöse Stromverkauf / Netzeinspeisung; Æ jährlich</v>
      </c>
      <c r="C82" s="188"/>
      <c r="D82" s="188"/>
      <c r="E82" s="184"/>
      <c r="F82" s="184"/>
      <c r="G82" s="1378">
        <f>U13</f>
        <v>0</v>
      </c>
      <c r="H82" s="1377"/>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603"/>
      <c r="AH82" s="603"/>
      <c r="AI82" s="598"/>
    </row>
    <row r="83" spans="1:35" ht="12.75">
      <c r="A83" s="604" t="s">
        <v>180</v>
      </c>
      <c r="B83" s="186" t="str">
        <f>"durchschn.jährl.Eigenverbrauchsbonus von 0 bis "&amp;Z7*100&amp;"%"</f>
        <v>durchschn.jährl.Eigenverbrauchsbonus von 0 bis 30%</v>
      </c>
      <c r="C83" s="188"/>
      <c r="D83" s="188"/>
      <c r="E83" s="184"/>
      <c r="F83" s="184"/>
      <c r="G83" s="1378">
        <f>AG12</f>
        <v>0</v>
      </c>
      <c r="H83" s="1377"/>
      <c r="I83" s="598"/>
      <c r="J83" s="598"/>
      <c r="K83" s="1367">
        <v>0.5</v>
      </c>
      <c r="L83" s="235" t="s">
        <v>220</v>
      </c>
      <c r="M83" s="193"/>
      <c r="N83" s="193"/>
      <c r="O83" s="205" t="s">
        <v>125</v>
      </c>
      <c r="P83" s="206" t="s">
        <v>222</v>
      </c>
      <c r="Q83" s="230" t="s">
        <v>5</v>
      </c>
      <c r="R83" s="226" t="s">
        <v>232</v>
      </c>
      <c r="S83" s="212" t="s">
        <v>129</v>
      </c>
      <c r="T83" s="212" t="s">
        <v>129</v>
      </c>
      <c r="U83" s="212" t="s">
        <v>211</v>
      </c>
      <c r="V83" s="235" t="s">
        <v>229</v>
      </c>
      <c r="W83" s="193"/>
      <c r="X83" s="193"/>
      <c r="Y83" s="206" t="s">
        <v>212</v>
      </c>
      <c r="Z83" s="206" t="s">
        <v>212</v>
      </c>
      <c r="AA83" s="206" t="s">
        <v>212</v>
      </c>
      <c r="AB83" s="230" t="s">
        <v>231</v>
      </c>
      <c r="AC83" s="211" t="s">
        <v>233</v>
      </c>
      <c r="AD83" s="211" t="s">
        <v>233</v>
      </c>
      <c r="AE83" s="211" t="s">
        <v>5</v>
      </c>
      <c r="AF83" s="211" t="s">
        <v>5</v>
      </c>
      <c r="AG83" s="242" t="s">
        <v>129</v>
      </c>
      <c r="AH83" s="242" t="s">
        <v>129</v>
      </c>
      <c r="AI83" s="212" t="s">
        <v>211</v>
      </c>
    </row>
    <row r="84" spans="1:35" ht="12.75">
      <c r="A84" s="604" t="s">
        <v>180</v>
      </c>
      <c r="B84" s="186" t="str">
        <f>"durchschn.jährl.Eigenverbrauchsbonus über "&amp;Z7*100&amp;"%"</f>
        <v>durchschn.jährl.Eigenverbrauchsbonus über 30%</v>
      </c>
      <c r="C84" s="188"/>
      <c r="D84" s="188"/>
      <c r="E84" s="184"/>
      <c r="F84" s="184"/>
      <c r="G84" s="1378">
        <f>AH12</f>
        <v>0</v>
      </c>
      <c r="H84" s="1377"/>
      <c r="I84" s="598"/>
      <c r="J84" s="598"/>
      <c r="K84" s="1368"/>
      <c r="L84" s="193"/>
      <c r="M84" s="193"/>
      <c r="N84" s="194"/>
      <c r="O84" s="205" t="s">
        <v>211</v>
      </c>
      <c r="P84" s="207" t="s">
        <v>221</v>
      </c>
      <c r="Q84" s="605" t="str">
        <f>$Q$7</f>
        <v>0-20Jahre</v>
      </c>
      <c r="R84" s="606" t="str">
        <f>$R$7</f>
        <v>21-20 Jahre</v>
      </c>
      <c r="S84" s="607">
        <f>$S$7</f>
        <v>1</v>
      </c>
      <c r="T84" s="607">
        <f>$T$7</f>
        <v>0</v>
      </c>
      <c r="U84" s="608" t="str">
        <f>$U$7</f>
        <v>0-20 Jahre</v>
      </c>
      <c r="V84" s="193"/>
      <c r="W84" s="193"/>
      <c r="X84" s="194"/>
      <c r="Y84" s="209" t="s">
        <v>211</v>
      </c>
      <c r="Z84" s="237">
        <f>$Z$7</f>
        <v>0.3</v>
      </c>
      <c r="AA84" s="238">
        <f>Z84</f>
        <v>0.3</v>
      </c>
      <c r="AB84" s="605" t="str">
        <f>"0-"&amp;G178&amp;"Jahre"</f>
        <v>0-Jahre</v>
      </c>
      <c r="AC84" s="609" t="str">
        <f>"bis "&amp;Z84*100&amp;"%"</f>
        <v>bis 30%</v>
      </c>
      <c r="AD84" s="609" t="str">
        <f>"über "&amp;AA84*100&amp;"%"</f>
        <v>über 30%</v>
      </c>
      <c r="AE84" s="609" t="str">
        <f>"bis "&amp;Z84*100&amp;"%"</f>
        <v>bis 30%</v>
      </c>
      <c r="AF84" s="609" t="str">
        <f>"über "&amp;AA84*100&amp;"%"</f>
        <v>über 30%</v>
      </c>
      <c r="AG84" s="1370">
        <f>$AG$7</f>
        <v>1</v>
      </c>
      <c r="AH84" s="1371"/>
      <c r="AI84" s="609" t="str">
        <f>$AI$7</f>
        <v>0-20 Jahre</v>
      </c>
    </row>
    <row r="85" spans="1:35" ht="12.75">
      <c r="A85" s="604" t="s">
        <v>180</v>
      </c>
      <c r="B85" s="192" t="str">
        <f>Kalkulation_Eigenstrom!BE57</f>
        <v>Strom-Eigenverbrauchsbonus (01/2009 bis 03/2012)</v>
      </c>
      <c r="C85" s="188"/>
      <c r="D85" s="188"/>
      <c r="E85" s="184"/>
      <c r="F85" s="184"/>
      <c r="G85" s="1378">
        <f>AI12</f>
        <v>0</v>
      </c>
      <c r="H85" s="1377"/>
      <c r="I85" s="598"/>
      <c r="J85" s="598"/>
      <c r="K85" s="1368"/>
      <c r="L85" s="193" t="str">
        <f>$L$8</f>
        <v>Dachanlage</v>
      </c>
      <c r="M85" s="193"/>
      <c r="N85" s="194" t="s">
        <v>110</v>
      </c>
      <c r="O85" s="205" t="s">
        <v>126</v>
      </c>
      <c r="P85" s="205" t="s">
        <v>126</v>
      </c>
      <c r="Q85" s="231" t="s">
        <v>128</v>
      </c>
      <c r="R85" s="227" t="s">
        <v>128</v>
      </c>
      <c r="S85" s="201" t="s">
        <v>130</v>
      </c>
      <c r="T85" s="201" t="s">
        <v>130</v>
      </c>
      <c r="U85" s="201" t="s">
        <v>130</v>
      </c>
      <c r="V85" s="241"/>
      <c r="W85" s="193"/>
      <c r="X85" s="194" t="str">
        <f>N85</f>
        <v>Anteile</v>
      </c>
      <c r="Y85" s="210" t="s">
        <v>126</v>
      </c>
      <c r="Z85" s="210" t="s">
        <v>126</v>
      </c>
      <c r="AA85" s="210" t="s">
        <v>126</v>
      </c>
      <c r="AB85" s="231" t="s">
        <v>128</v>
      </c>
      <c r="AC85" s="231" t="s">
        <v>128</v>
      </c>
      <c r="AD85" s="231" t="s">
        <v>128</v>
      </c>
      <c r="AE85" s="231" t="s">
        <v>128</v>
      </c>
      <c r="AF85" s="231" t="s">
        <v>128</v>
      </c>
      <c r="AG85" s="201" t="s">
        <v>130</v>
      </c>
      <c r="AH85" s="201" t="s">
        <v>130</v>
      </c>
      <c r="AI85" s="201" t="s">
        <v>130</v>
      </c>
    </row>
    <row r="86" spans="1:35" ht="12.75">
      <c r="A86" s="604" t="s">
        <v>180</v>
      </c>
      <c r="B86" s="192" t="s">
        <v>330</v>
      </c>
      <c r="C86" s="188"/>
      <c r="D86" s="188"/>
      <c r="E86" s="184"/>
      <c r="F86" s="184"/>
      <c r="G86" s="1413">
        <f>G79-G82-G85</f>
        <v>0</v>
      </c>
      <c r="H86" s="1414"/>
      <c r="I86" s="598"/>
      <c r="J86" s="598"/>
      <c r="K86" s="1368"/>
      <c r="L86" s="1372">
        <f>$L$9</f>
        <v>10</v>
      </c>
      <c r="M86" s="1372"/>
      <c r="N86" s="198">
        <f>$N$9</f>
        <v>1</v>
      </c>
      <c r="O86" s="208">
        <f>$O$9</f>
        <v>0</v>
      </c>
      <c r="P86" s="208">
        <f>P90*N86</f>
        <v>0</v>
      </c>
      <c r="Q86" s="232">
        <f>$Q$9</f>
        <v>0.1275</v>
      </c>
      <c r="R86" s="228">
        <f>$R$9</f>
        <v>0.15</v>
      </c>
      <c r="S86" s="200">
        <f>P86*Q86*S84</f>
        <v>0</v>
      </c>
      <c r="T86" s="200">
        <f>P86*R86*T84</f>
        <v>0</v>
      </c>
      <c r="U86" s="200">
        <f>S86+T86</f>
        <v>0</v>
      </c>
      <c r="V86" s="246" t="s">
        <v>245</v>
      </c>
      <c r="W86" s="247">
        <f>L86</f>
        <v>10</v>
      </c>
      <c r="X86" s="198">
        <f>N86</f>
        <v>1</v>
      </c>
      <c r="Y86" s="208">
        <f>Y89*N86</f>
        <v>0</v>
      </c>
      <c r="Z86" s="208">
        <f>IF(O86=0,0,IF((Y86/O86)&gt;Z84,O86*Z84,Y86))</f>
        <v>0</v>
      </c>
      <c r="AA86" s="208">
        <f>IF(O86=0,0,IF((Y86/O86)&gt;Z84,Y86-(O86*Z84),0))</f>
        <v>0</v>
      </c>
      <c r="AB86" s="232">
        <f>$AB$9</f>
        <v>0.1275</v>
      </c>
      <c r="AC86" s="199">
        <f>$AC$9</f>
        <v>0</v>
      </c>
      <c r="AD86" s="199">
        <f>$AD$9</f>
        <v>0</v>
      </c>
      <c r="AE86" s="199">
        <f>IF($G$6&gt;$AB$4,0,IF($AB$5=3,0,AB86-AC86))</f>
        <v>0</v>
      </c>
      <c r="AF86" s="199">
        <f>IF($G$6&gt;$AB$4,0,IF($AB$5=3,0,AB86-AD86))</f>
        <v>0</v>
      </c>
      <c r="AG86" s="200">
        <f>Z86*AE86*AG84</f>
        <v>0</v>
      </c>
      <c r="AH86" s="200">
        <f>AA86*AF86*AG84</f>
        <v>0</v>
      </c>
      <c r="AI86" s="200">
        <f>AG86+AH86</f>
        <v>0</v>
      </c>
    </row>
    <row r="87" spans="1:35" ht="12.75">
      <c r="A87" s="604" t="s">
        <v>180</v>
      </c>
      <c r="B87" s="186" t="s">
        <v>573</v>
      </c>
      <c r="C87" s="188"/>
      <c r="D87" s="188"/>
      <c r="E87" s="184"/>
      <c r="F87" s="184"/>
      <c r="G87" s="1359">
        <f>IF(G31=0,0,G86/G30)</f>
        <v>0</v>
      </c>
      <c r="H87" s="1360" t="e">
        <f>G86/G30</f>
        <v>#DIV/0!</v>
      </c>
      <c r="I87" s="598"/>
      <c r="J87" s="598"/>
      <c r="K87" s="1368"/>
      <c r="L87" s="1372">
        <f>$L$10</f>
        <v>40</v>
      </c>
      <c r="M87" s="1372"/>
      <c r="N87" s="198">
        <f>$N$10</f>
        <v>0</v>
      </c>
      <c r="O87" s="208">
        <f>$O$10</f>
        <v>0</v>
      </c>
      <c r="P87" s="208">
        <f>P90*N87</f>
        <v>0</v>
      </c>
      <c r="Q87" s="232">
        <f>$Q$10</f>
        <v>0.124</v>
      </c>
      <c r="R87" s="228">
        <f>$R$10</f>
        <v>0.15</v>
      </c>
      <c r="S87" s="200">
        <f>P87*Q87*S84</f>
        <v>0</v>
      </c>
      <c r="T87" s="200">
        <f>P87*R87*T84</f>
        <v>0</v>
      </c>
      <c r="U87" s="200">
        <f>S87+T87</f>
        <v>0</v>
      </c>
      <c r="V87" s="246" t="s">
        <v>245</v>
      </c>
      <c r="W87" s="247">
        <f>L87</f>
        <v>40</v>
      </c>
      <c r="X87" s="198">
        <f>N87</f>
        <v>0</v>
      </c>
      <c r="Y87" s="208">
        <f>Y89*N87</f>
        <v>0</v>
      </c>
      <c r="Z87" s="208">
        <f>IF(O87=0,0,IF((Y87/O87)&gt;Z84,O87*Z84,Y87))</f>
        <v>0</v>
      </c>
      <c r="AA87" s="208">
        <f>IF(O87=0,0,IF((Y87/O87)&gt;Z84,Y87-(O87*Z84),0))</f>
        <v>0</v>
      </c>
      <c r="AB87" s="232">
        <f>$AB$10</f>
        <v>0.124</v>
      </c>
      <c r="AC87" s="199">
        <f>$AC$10</f>
        <v>0</v>
      </c>
      <c r="AD87" s="199">
        <f>$AD$10</f>
        <v>0</v>
      </c>
      <c r="AE87" s="199">
        <f>IF($G$6&gt;$AB$4,0,IF($AB$5=3,0,AB87-AC87))</f>
        <v>0</v>
      </c>
      <c r="AF87" s="199">
        <f>IF($G$6&gt;$AB$4,0,IF($AB$5=3,0,AB87-AD87))</f>
        <v>0</v>
      </c>
      <c r="AG87" s="200">
        <f>Z87*AE87*AG84</f>
        <v>0</v>
      </c>
      <c r="AH87" s="200">
        <f>AA87*AF87*AG84</f>
        <v>0</v>
      </c>
      <c r="AI87" s="200">
        <f>AG87+AH87</f>
        <v>0</v>
      </c>
    </row>
    <row r="88" spans="1:35" ht="12.75">
      <c r="A88" s="598"/>
      <c r="B88" s="186"/>
      <c r="C88" s="188"/>
      <c r="D88" s="188"/>
      <c r="E88" s="184"/>
      <c r="F88" s="184"/>
      <c r="G88" s="538"/>
      <c r="H88" s="539"/>
      <c r="I88" s="598"/>
      <c r="J88" s="598"/>
      <c r="K88" s="1368"/>
      <c r="L88" s="1372">
        <f>$L$11</f>
        <v>1000</v>
      </c>
      <c r="M88" s="1372"/>
      <c r="N88" s="198">
        <f>$N$11</f>
        <v>0</v>
      </c>
      <c r="O88" s="208">
        <f>$O$11</f>
        <v>0</v>
      </c>
      <c r="P88" s="208">
        <f>P90*N88</f>
        <v>0</v>
      </c>
      <c r="Q88" s="232">
        <f>$Q$11</f>
        <v>0.1109</v>
      </c>
      <c r="R88" s="228">
        <f>$R$11</f>
        <v>0.15</v>
      </c>
      <c r="S88" s="200">
        <f>P88*Q88*S84</f>
        <v>0</v>
      </c>
      <c r="T88" s="200">
        <f>P88*R88*T84</f>
        <v>0</v>
      </c>
      <c r="U88" s="200">
        <f>S88+T88</f>
        <v>0</v>
      </c>
      <c r="V88" s="246" t="s">
        <v>245</v>
      </c>
      <c r="W88" s="248">
        <v>500</v>
      </c>
      <c r="X88" s="198">
        <f>N88</f>
        <v>0</v>
      </c>
      <c r="Y88" s="208">
        <f>Y89*N88</f>
        <v>0</v>
      </c>
      <c r="Z88" s="208">
        <f>IF(O88=0,0,IF((Y88/O88)&gt;Z84,O88*Z84,Y88))</f>
        <v>0</v>
      </c>
      <c r="AA88" s="208">
        <f>IF(O88=0,0,IF((Y88/O88)&gt;Z84,Y88-(O88*Z84),0))</f>
        <v>0</v>
      </c>
      <c r="AB88" s="232">
        <f>$AB$11</f>
        <v>0.1109</v>
      </c>
      <c r="AC88" s="199">
        <f>$AC$11</f>
        <v>0</v>
      </c>
      <c r="AD88" s="199">
        <f>$AD$11</f>
        <v>0</v>
      </c>
      <c r="AE88" s="199">
        <f>IF($G$6&gt;$AB$4,0,IF($AB$5=3,0,AB88-AC88))</f>
        <v>0</v>
      </c>
      <c r="AF88" s="199">
        <f>IF($G$6&gt;$AB$4,0,IF($AB$5=3,0,AB88-AD88))</f>
        <v>0</v>
      </c>
      <c r="AG88" s="200">
        <f>Z88*AE88*AG84</f>
        <v>0</v>
      </c>
      <c r="AH88" s="200">
        <f>AA88*AF88*AG84</f>
        <v>0</v>
      </c>
      <c r="AI88" s="200">
        <f>AG88+AH88</f>
        <v>0</v>
      </c>
    </row>
    <row r="89" spans="1:35" ht="12.75">
      <c r="A89" s="604" t="s">
        <v>180</v>
      </c>
      <c r="B89" s="186" t="str">
        <f>B21</f>
        <v>Anlagenlaufzeit  (Laufzeit Module)</v>
      </c>
      <c r="C89" s="188"/>
      <c r="D89" s="188"/>
      <c r="E89" s="184"/>
      <c r="F89" s="184"/>
      <c r="G89" s="1383">
        <f>G21</f>
        <v>20</v>
      </c>
      <c r="H89" s="1384"/>
      <c r="I89" s="598"/>
      <c r="J89" s="598"/>
      <c r="K89" s="1368"/>
      <c r="L89" s="1373">
        <f>$L$12</f>
        <v>1000</v>
      </c>
      <c r="M89" s="1373"/>
      <c r="N89" s="198">
        <f>$N$12</f>
        <v>0</v>
      </c>
      <c r="O89" s="208">
        <f>$O$12</f>
        <v>0</v>
      </c>
      <c r="P89" s="208">
        <f>P90*N89</f>
        <v>0</v>
      </c>
      <c r="Q89" s="232">
        <f>$Q$12</f>
        <v>0</v>
      </c>
      <c r="R89" s="228">
        <f>$R$12</f>
        <v>0.15</v>
      </c>
      <c r="S89" s="200">
        <f>P89*Q89*S84</f>
        <v>0</v>
      </c>
      <c r="T89" s="200">
        <f>P89*R89*T84</f>
        <v>0</v>
      </c>
      <c r="U89" s="200">
        <f>S89+T89</f>
        <v>0</v>
      </c>
      <c r="V89" s="202"/>
      <c r="W89" s="203" t="str">
        <f>M90</f>
        <v> gesamt</v>
      </c>
      <c r="X89" s="204">
        <f>N90</f>
        <v>1</v>
      </c>
      <c r="Y89" s="213">
        <f>O90-P90</f>
        <v>0</v>
      </c>
      <c r="Z89" s="213">
        <f>SUM(Z86:Z88)</f>
        <v>0</v>
      </c>
      <c r="AA89" s="213">
        <f>SUM(AA86:AA88)</f>
        <v>0</v>
      </c>
      <c r="AB89" s="233"/>
      <c r="AC89" s="234"/>
      <c r="AD89" s="214"/>
      <c r="AE89" s="214"/>
      <c r="AF89" s="214"/>
      <c r="AG89" s="214">
        <f>SUM(AG86:AG88)</f>
        <v>0</v>
      </c>
      <c r="AH89" s="214">
        <f>SUM(AH86:AH88)</f>
        <v>0</v>
      </c>
      <c r="AI89" s="234">
        <f>SUM(AI86:AI88)</f>
        <v>0</v>
      </c>
    </row>
    <row r="90" spans="1:35" ht="12.75">
      <c r="A90" s="604" t="s">
        <v>180</v>
      </c>
      <c r="B90" s="186" t="s">
        <v>224</v>
      </c>
      <c r="C90" s="188"/>
      <c r="D90" s="188"/>
      <c r="E90" s="184"/>
      <c r="F90" s="184"/>
      <c r="G90" s="1383">
        <v>20</v>
      </c>
      <c r="H90" s="1384"/>
      <c r="I90" s="598"/>
      <c r="J90" s="598"/>
      <c r="K90" s="1368"/>
      <c r="L90" s="202"/>
      <c r="M90" s="203" t="s">
        <v>223</v>
      </c>
      <c r="N90" s="204">
        <f>SUM(N86:N89)</f>
        <v>1</v>
      </c>
      <c r="O90" s="213">
        <f>$O$13</f>
        <v>0</v>
      </c>
      <c r="P90" s="213">
        <f>O90*(1-K83)</f>
        <v>0</v>
      </c>
      <c r="Q90" s="233"/>
      <c r="R90" s="229"/>
      <c r="S90" s="214">
        <f>SUM(S86:S89)</f>
        <v>0</v>
      </c>
      <c r="T90" s="214">
        <f>SUM(T86:T89)</f>
        <v>0</v>
      </c>
      <c r="U90" s="214">
        <f>SUM(U86:U89)</f>
        <v>0</v>
      </c>
      <c r="V90" s="195"/>
      <c r="W90" s="196"/>
      <c r="X90" s="197"/>
      <c r="Y90" s="197"/>
      <c r="Z90" s="1374">
        <f>Z89+AA89</f>
        <v>0</v>
      </c>
      <c r="AA90" s="1375"/>
      <c r="AB90" s="215"/>
      <c r="AC90" s="215"/>
      <c r="AD90" s="195"/>
      <c r="AE90" s="195"/>
      <c r="AF90" s="195"/>
      <c r="AG90" s="1374">
        <f>AG89+AH89</f>
        <v>0</v>
      </c>
      <c r="AH90" s="1375"/>
      <c r="AI90" s="215"/>
    </row>
    <row r="91" spans="1:35" ht="12.75">
      <c r="A91" s="604" t="s">
        <v>180</v>
      </c>
      <c r="B91" s="186" t="s">
        <v>225</v>
      </c>
      <c r="C91" s="188"/>
      <c r="D91" s="188"/>
      <c r="E91" s="184"/>
      <c r="F91" s="184"/>
      <c r="G91" s="1411">
        <f>G90/G89</f>
        <v>1</v>
      </c>
      <c r="H91" s="1412"/>
      <c r="I91" s="598"/>
      <c r="J91" s="598"/>
      <c r="K91" s="1369"/>
      <c r="L91" s="195"/>
      <c r="M91" s="196" t="s">
        <v>213</v>
      </c>
      <c r="N91" s="611"/>
      <c r="O91" s="197">
        <f>SUM(O86:O89)</f>
        <v>0</v>
      </c>
      <c r="P91" s="197">
        <f>SUM(P86:P89)</f>
        <v>0</v>
      </c>
      <c r="Q91" s="215"/>
      <c r="R91" s="215"/>
      <c r="S91" s="1374">
        <f>S90+T90</f>
        <v>0</v>
      </c>
      <c r="T91" s="1375"/>
      <c r="U91" s="243"/>
      <c r="V91" s="612"/>
      <c r="W91" s="598"/>
      <c r="X91" s="612"/>
      <c r="Y91" s="612"/>
      <c r="Z91" s="612"/>
      <c r="AA91" s="598"/>
      <c r="AB91" s="613">
        <f>IF(O90=0,0,Z89/O90)</f>
        <v>0</v>
      </c>
      <c r="AC91" s="613">
        <f>IF(O90=0,0,AA89/O90)</f>
        <v>0</v>
      </c>
      <c r="AD91" s="612"/>
      <c r="AE91" s="598"/>
      <c r="AF91" s="612"/>
      <c r="AG91" s="598"/>
      <c r="AH91" s="598"/>
      <c r="AI91" s="612"/>
    </row>
    <row r="92" spans="1:35" ht="12.75">
      <c r="A92" s="604" t="s">
        <v>180</v>
      </c>
      <c r="B92" s="186" t="s">
        <v>226</v>
      </c>
      <c r="C92" s="188"/>
      <c r="D92" s="188"/>
      <c r="E92" s="184"/>
      <c r="F92" s="184"/>
      <c r="G92" s="1411">
        <f>1-G91</f>
        <v>0</v>
      </c>
      <c r="H92" s="1412"/>
      <c r="I92" s="598"/>
      <c r="J92" s="598"/>
      <c r="K92" s="598"/>
      <c r="L92" s="216"/>
      <c r="M92" s="216"/>
      <c r="N92" s="217"/>
      <c r="O92" s="218"/>
      <c r="P92" s="219"/>
      <c r="Q92" s="220"/>
      <c r="R92" s="221"/>
      <c r="S92" s="222"/>
      <c r="T92" s="223"/>
      <c r="U92" s="224"/>
      <c r="V92" s="612"/>
      <c r="W92" s="598"/>
      <c r="X92" s="612"/>
      <c r="Y92" s="612"/>
      <c r="Z92" s="612"/>
      <c r="AA92" s="598"/>
      <c r="AB92" s="1365">
        <f>AB91+AC91</f>
        <v>0</v>
      </c>
      <c r="AC92" s="1366"/>
      <c r="AD92" s="614"/>
      <c r="AE92" s="598"/>
      <c r="AF92" s="612"/>
      <c r="AG92" s="598"/>
      <c r="AH92" s="598"/>
      <c r="AI92" s="598"/>
    </row>
    <row r="93" spans="1:35" ht="12.75">
      <c r="A93" s="604" t="s">
        <v>180</v>
      </c>
      <c r="B93" s="186" t="s">
        <v>227</v>
      </c>
      <c r="C93" s="188"/>
      <c r="D93" s="188"/>
      <c r="E93" s="184"/>
      <c r="F93" s="184"/>
      <c r="G93" s="1385">
        <f>Kalkulation_Eigenstrom!BJ49</f>
        <v>0.15</v>
      </c>
      <c r="H93" s="1386"/>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603"/>
      <c r="AH93" s="603"/>
      <c r="AI93" s="598"/>
    </row>
    <row r="94" spans="1:35" ht="12.75">
      <c r="A94" s="604" t="s">
        <v>180</v>
      </c>
      <c r="B94" s="186" t="s">
        <v>182</v>
      </c>
      <c r="C94" s="188"/>
      <c r="D94" s="188"/>
      <c r="E94" s="184"/>
      <c r="F94" s="187"/>
      <c r="G94" s="1361">
        <f>A169</f>
        <v>8</v>
      </c>
      <c r="H94" s="1362"/>
      <c r="I94" s="598"/>
      <c r="J94" s="598"/>
      <c r="K94" s="1367">
        <v>0.6</v>
      </c>
      <c r="L94" s="235" t="s">
        <v>220</v>
      </c>
      <c r="M94" s="193"/>
      <c r="N94" s="193"/>
      <c r="O94" s="205" t="s">
        <v>125</v>
      </c>
      <c r="P94" s="206" t="s">
        <v>222</v>
      </c>
      <c r="Q94" s="230" t="s">
        <v>5</v>
      </c>
      <c r="R94" s="226" t="s">
        <v>232</v>
      </c>
      <c r="S94" s="212" t="s">
        <v>129</v>
      </c>
      <c r="T94" s="212" t="s">
        <v>129</v>
      </c>
      <c r="U94" s="212" t="s">
        <v>211</v>
      </c>
      <c r="V94" s="235" t="s">
        <v>229</v>
      </c>
      <c r="W94" s="193"/>
      <c r="X94" s="193"/>
      <c r="Y94" s="206" t="s">
        <v>212</v>
      </c>
      <c r="Z94" s="206" t="s">
        <v>212</v>
      </c>
      <c r="AA94" s="206" t="s">
        <v>212</v>
      </c>
      <c r="AB94" s="230" t="s">
        <v>231</v>
      </c>
      <c r="AC94" s="211" t="s">
        <v>233</v>
      </c>
      <c r="AD94" s="211" t="s">
        <v>233</v>
      </c>
      <c r="AE94" s="211" t="s">
        <v>5</v>
      </c>
      <c r="AF94" s="211" t="s">
        <v>5</v>
      </c>
      <c r="AG94" s="242" t="s">
        <v>129</v>
      </c>
      <c r="AH94" s="242" t="s">
        <v>129</v>
      </c>
      <c r="AI94" s="212" t="s">
        <v>211</v>
      </c>
    </row>
    <row r="95" spans="1:35" ht="12.75">
      <c r="A95" s="604" t="s">
        <v>180</v>
      </c>
      <c r="B95" s="1401" t="str">
        <f>VLOOKUP(G94,C170:F177,4,FALSE)</f>
        <v>keine Anlage erfasst !!</v>
      </c>
      <c r="C95" s="1402"/>
      <c r="D95" s="1402"/>
      <c r="E95" s="1402"/>
      <c r="F95" s="1402"/>
      <c r="G95" s="1402"/>
      <c r="H95" s="1403"/>
      <c r="I95" s="598"/>
      <c r="J95" s="598"/>
      <c r="K95" s="1368"/>
      <c r="L95" s="193"/>
      <c r="M95" s="193"/>
      <c r="N95" s="194"/>
      <c r="O95" s="205" t="s">
        <v>211</v>
      </c>
      <c r="P95" s="207" t="s">
        <v>221</v>
      </c>
      <c r="Q95" s="605" t="str">
        <f>$Q$7</f>
        <v>0-20Jahre</v>
      </c>
      <c r="R95" s="606" t="str">
        <f>$R$7</f>
        <v>21-20 Jahre</v>
      </c>
      <c r="S95" s="607">
        <f>$S$7</f>
        <v>1</v>
      </c>
      <c r="T95" s="607">
        <f>$T$7</f>
        <v>0</v>
      </c>
      <c r="U95" s="608" t="str">
        <f>$U$7</f>
        <v>0-20 Jahre</v>
      </c>
      <c r="V95" s="193"/>
      <c r="W95" s="193"/>
      <c r="X95" s="194"/>
      <c r="Y95" s="209" t="s">
        <v>211</v>
      </c>
      <c r="Z95" s="237">
        <f>$Z$7</f>
        <v>0.3</v>
      </c>
      <c r="AA95" s="238">
        <f>Z95</f>
        <v>0.3</v>
      </c>
      <c r="AB95" s="605" t="str">
        <f>"0-"&amp;G189&amp;"Jahre"</f>
        <v>0-Jahre</v>
      </c>
      <c r="AC95" s="609" t="str">
        <f>"bis "&amp;Z95*100&amp;"%"</f>
        <v>bis 30%</v>
      </c>
      <c r="AD95" s="609" t="str">
        <f>"über "&amp;AA95*100&amp;"%"</f>
        <v>über 30%</v>
      </c>
      <c r="AE95" s="609" t="str">
        <f>"bis "&amp;Z95*100&amp;"%"</f>
        <v>bis 30%</v>
      </c>
      <c r="AF95" s="609" t="str">
        <f>"über "&amp;AA95*100&amp;"%"</f>
        <v>über 30%</v>
      </c>
      <c r="AG95" s="1370">
        <f>$AG$7</f>
        <v>1</v>
      </c>
      <c r="AH95" s="1371"/>
      <c r="AI95" s="609" t="str">
        <f>$AI$7</f>
        <v>0-20 Jahre</v>
      </c>
    </row>
    <row r="96" spans="1:35" ht="12.75">
      <c r="A96" s="604" t="s">
        <v>180</v>
      </c>
      <c r="B96" s="186" t="s">
        <v>244</v>
      </c>
      <c r="C96" s="188"/>
      <c r="D96" s="188"/>
      <c r="E96" s="184"/>
      <c r="F96" s="187"/>
      <c r="G96" s="1361">
        <f>B169</f>
        <v>3</v>
      </c>
      <c r="H96" s="1362"/>
      <c r="I96" s="598"/>
      <c r="J96" s="598"/>
      <c r="K96" s="1368"/>
      <c r="L96" s="193" t="str">
        <f>$L$8</f>
        <v>Dachanlage</v>
      </c>
      <c r="M96" s="193"/>
      <c r="N96" s="194" t="s">
        <v>110</v>
      </c>
      <c r="O96" s="205" t="s">
        <v>126</v>
      </c>
      <c r="P96" s="205" t="s">
        <v>126</v>
      </c>
      <c r="Q96" s="231" t="s">
        <v>128</v>
      </c>
      <c r="R96" s="227" t="s">
        <v>128</v>
      </c>
      <c r="S96" s="201" t="s">
        <v>130</v>
      </c>
      <c r="T96" s="201" t="s">
        <v>130</v>
      </c>
      <c r="U96" s="201" t="s">
        <v>130</v>
      </c>
      <c r="V96" s="241"/>
      <c r="W96" s="193"/>
      <c r="X96" s="194" t="str">
        <f>N96</f>
        <v>Anteile</v>
      </c>
      <c r="Y96" s="210" t="s">
        <v>126</v>
      </c>
      <c r="Z96" s="210" t="s">
        <v>126</v>
      </c>
      <c r="AA96" s="210" t="s">
        <v>126</v>
      </c>
      <c r="AB96" s="231" t="s">
        <v>128</v>
      </c>
      <c r="AC96" s="231" t="s">
        <v>128</v>
      </c>
      <c r="AD96" s="231" t="s">
        <v>128</v>
      </c>
      <c r="AE96" s="231" t="s">
        <v>128</v>
      </c>
      <c r="AF96" s="231" t="s">
        <v>128</v>
      </c>
      <c r="AG96" s="201" t="s">
        <v>130</v>
      </c>
      <c r="AH96" s="201" t="s">
        <v>130</v>
      </c>
      <c r="AI96" s="201" t="s">
        <v>130</v>
      </c>
    </row>
    <row r="97" spans="1:35" ht="12.75">
      <c r="A97" s="598"/>
      <c r="B97" s="598"/>
      <c r="C97" s="598"/>
      <c r="D97" s="598"/>
      <c r="E97" s="598"/>
      <c r="F97" s="598"/>
      <c r="G97" s="598"/>
      <c r="H97" s="598"/>
      <c r="I97" s="598"/>
      <c r="J97" s="598"/>
      <c r="K97" s="1368"/>
      <c r="L97" s="1372">
        <f>$L$9</f>
        <v>10</v>
      </c>
      <c r="M97" s="1372"/>
      <c r="N97" s="198">
        <f>$N$9</f>
        <v>1</v>
      </c>
      <c r="O97" s="208">
        <f>$O$9</f>
        <v>0</v>
      </c>
      <c r="P97" s="208">
        <f>P101*N97</f>
        <v>0</v>
      </c>
      <c r="Q97" s="232">
        <f>$Q$9</f>
        <v>0.1275</v>
      </c>
      <c r="R97" s="228">
        <f>$R$9</f>
        <v>0.15</v>
      </c>
      <c r="S97" s="200">
        <f>P97*Q97*S95</f>
        <v>0</v>
      </c>
      <c r="T97" s="200">
        <f>P97*R97*T95</f>
        <v>0</v>
      </c>
      <c r="U97" s="200">
        <f>S97+T97</f>
        <v>0</v>
      </c>
      <c r="V97" s="246" t="s">
        <v>245</v>
      </c>
      <c r="W97" s="247">
        <f>L97</f>
        <v>10</v>
      </c>
      <c r="X97" s="198">
        <f>N97</f>
        <v>1</v>
      </c>
      <c r="Y97" s="208">
        <f>Y100*N97</f>
        <v>0</v>
      </c>
      <c r="Z97" s="208">
        <f>IF(O97=0,0,IF((Y97/O97)&gt;Z95,O97*Z95,Y97))</f>
        <v>0</v>
      </c>
      <c r="AA97" s="208">
        <f>IF(O97=0,0,IF((Y97/O97)&gt;Z95,Y97-(O97*Z95),0))</f>
        <v>0</v>
      </c>
      <c r="AB97" s="232">
        <f>$AB$9</f>
        <v>0.1275</v>
      </c>
      <c r="AC97" s="199">
        <f>$AC$9</f>
        <v>0</v>
      </c>
      <c r="AD97" s="199">
        <f>$AD$9</f>
        <v>0</v>
      </c>
      <c r="AE97" s="199">
        <f>IF($G$6&gt;$AB$4,0,IF($AB$5=3,0,AB97-AC97))</f>
        <v>0</v>
      </c>
      <c r="AF97" s="199">
        <f>IF($G$6&gt;$AB$4,0,IF($AB$5=3,0,AB97-AD97))</f>
        <v>0</v>
      </c>
      <c r="AG97" s="200">
        <f>Z97*AE97*AG95</f>
        <v>0</v>
      </c>
      <c r="AH97" s="200">
        <f>AA97*AF97*AG95</f>
        <v>0</v>
      </c>
      <c r="AI97" s="200">
        <f>AG97+AH97</f>
        <v>0</v>
      </c>
    </row>
    <row r="98" spans="1:35" ht="12.75">
      <c r="A98" s="604" t="s">
        <v>180</v>
      </c>
      <c r="B98" s="186" t="s">
        <v>250</v>
      </c>
      <c r="C98" s="188"/>
      <c r="D98" s="188"/>
      <c r="E98" s="184"/>
      <c r="F98" s="184"/>
      <c r="G98" s="1385">
        <f>Kalkulation_Eigenstrom!CW59</f>
        <v>0.21</v>
      </c>
      <c r="H98" s="1386"/>
      <c r="I98" s="598"/>
      <c r="J98" s="598"/>
      <c r="K98" s="1368"/>
      <c r="L98" s="1372">
        <f>$L$10</f>
        <v>40</v>
      </c>
      <c r="M98" s="1372"/>
      <c r="N98" s="198">
        <f>$N$10</f>
        <v>0</v>
      </c>
      <c r="O98" s="208">
        <f>$O$10</f>
        <v>0</v>
      </c>
      <c r="P98" s="208">
        <f>P101*N98</f>
        <v>0</v>
      </c>
      <c r="Q98" s="232">
        <f>$Q$10</f>
        <v>0.124</v>
      </c>
      <c r="R98" s="228">
        <f>$R$10</f>
        <v>0.15</v>
      </c>
      <c r="S98" s="200">
        <f>P98*Q98*S95</f>
        <v>0</v>
      </c>
      <c r="T98" s="200">
        <f>P98*R98*T95</f>
        <v>0</v>
      </c>
      <c r="U98" s="200">
        <f>S98+T98</f>
        <v>0</v>
      </c>
      <c r="V98" s="246" t="s">
        <v>245</v>
      </c>
      <c r="W98" s="247">
        <f>L98</f>
        <v>40</v>
      </c>
      <c r="X98" s="198">
        <f>N98</f>
        <v>0</v>
      </c>
      <c r="Y98" s="208">
        <f>Y100*N98</f>
        <v>0</v>
      </c>
      <c r="Z98" s="208">
        <f>IF(O98=0,0,IF((Y98/O98)&gt;Z95,O98*Z95,Y98))</f>
        <v>0</v>
      </c>
      <c r="AA98" s="208">
        <f>IF(O98=0,0,IF((Y98/O98)&gt;Z95,Y98-(O98*Z95),0))</f>
        <v>0</v>
      </c>
      <c r="AB98" s="232">
        <f>$AB$10</f>
        <v>0.124</v>
      </c>
      <c r="AC98" s="199">
        <f>$AC$10</f>
        <v>0</v>
      </c>
      <c r="AD98" s="199">
        <f>$AD$10</f>
        <v>0</v>
      </c>
      <c r="AE98" s="199">
        <f>IF($G$6&gt;$AB$4,0,IF($AB$5=3,0,AB98-AC98))</f>
        <v>0</v>
      </c>
      <c r="AF98" s="199">
        <f>IF($G$6&gt;$AB$4,0,IF($AB$5=3,0,AB98-AD98))</f>
        <v>0</v>
      </c>
      <c r="AG98" s="200">
        <f>Z98*AE98*AG95</f>
        <v>0</v>
      </c>
      <c r="AH98" s="200">
        <f>AA98*AF98*AG95</f>
        <v>0</v>
      </c>
      <c r="AI98" s="200">
        <f>AG98+AH98</f>
        <v>0</v>
      </c>
    </row>
    <row r="99" spans="1:35" ht="12.75">
      <c r="A99" s="604" t="s">
        <v>180</v>
      </c>
      <c r="B99" s="183" t="s">
        <v>119</v>
      </c>
      <c r="C99" s="188"/>
      <c r="D99" s="188"/>
      <c r="E99" s="184"/>
      <c r="F99" s="184"/>
      <c r="G99" s="1389">
        <f>Kalkulation_Eigenstrom!CL61/1000</f>
        <v>0.01</v>
      </c>
      <c r="H99" s="1390"/>
      <c r="I99" s="598"/>
      <c r="J99" s="598"/>
      <c r="K99" s="1368"/>
      <c r="L99" s="1372">
        <f>$L$11</f>
        <v>1000</v>
      </c>
      <c r="M99" s="1372"/>
      <c r="N99" s="198">
        <f>$N$11</f>
        <v>0</v>
      </c>
      <c r="O99" s="208">
        <f>$O$11</f>
        <v>0</v>
      </c>
      <c r="P99" s="208">
        <f>P101*N99</f>
        <v>0</v>
      </c>
      <c r="Q99" s="232">
        <f>$Q$11</f>
        <v>0.1109</v>
      </c>
      <c r="R99" s="228">
        <f>$R$11</f>
        <v>0.15</v>
      </c>
      <c r="S99" s="200">
        <f>P99*Q99*S95</f>
        <v>0</v>
      </c>
      <c r="T99" s="200">
        <f>P99*R99*T95</f>
        <v>0</v>
      </c>
      <c r="U99" s="200">
        <f>S99+T99</f>
        <v>0</v>
      </c>
      <c r="V99" s="246" t="s">
        <v>245</v>
      </c>
      <c r="W99" s="248">
        <v>500</v>
      </c>
      <c r="X99" s="198">
        <f>N99</f>
        <v>0</v>
      </c>
      <c r="Y99" s="208">
        <f>Y100*N99</f>
        <v>0</v>
      </c>
      <c r="Z99" s="208">
        <f>IF(O99=0,0,IF((Y99/O99)&gt;Z95,O99*Z95,Y99))</f>
        <v>0</v>
      </c>
      <c r="AA99" s="208">
        <f>IF(O99=0,0,IF((Y99/O99)&gt;Z95,Y99-(O99*Z95),0))</f>
        <v>0</v>
      </c>
      <c r="AB99" s="232">
        <f>$AB$11</f>
        <v>0.1109</v>
      </c>
      <c r="AC99" s="199">
        <f>$AC$11</f>
        <v>0</v>
      </c>
      <c r="AD99" s="199">
        <f>$AD$11</f>
        <v>0</v>
      </c>
      <c r="AE99" s="199">
        <f>IF($G$6&gt;$AB$4,0,IF($AB$5=3,0,AB99-AC99))</f>
        <v>0</v>
      </c>
      <c r="AF99" s="199">
        <f>IF($G$6&gt;$AB$4,0,IF($AB$5=3,0,AB99-AD99))</f>
        <v>0</v>
      </c>
      <c r="AG99" s="200">
        <f>Z99*AE99*AG95</f>
        <v>0</v>
      </c>
      <c r="AH99" s="200">
        <f>AA99*AF99*AG95</f>
        <v>0</v>
      </c>
      <c r="AI99" s="200">
        <f>AG99+AH99</f>
        <v>0</v>
      </c>
    </row>
    <row r="100" spans="1:35" ht="12.75">
      <c r="A100" s="604" t="s">
        <v>180</v>
      </c>
      <c r="B100" s="186" t="str">
        <f>"Strompreis im "&amp;ROUND(ZRB!G89,0)&amp;". Jahr"</f>
        <v>Strompreis im 20. Jahr</v>
      </c>
      <c r="C100" s="188"/>
      <c r="D100" s="188"/>
      <c r="E100" s="184"/>
      <c r="F100" s="184"/>
      <c r="G100" s="1359">
        <f>POWER((1+$G$99),$G$89-1)*$G$98</f>
        <v>0.25370287959314164</v>
      </c>
      <c r="H100" s="1360"/>
      <c r="I100" s="598"/>
      <c r="J100" s="598"/>
      <c r="K100" s="1368"/>
      <c r="L100" s="1373">
        <f>$L$12</f>
        <v>1000</v>
      </c>
      <c r="M100" s="1373"/>
      <c r="N100" s="198">
        <f>$N$12</f>
        <v>0</v>
      </c>
      <c r="O100" s="208">
        <f>$O$12</f>
        <v>0</v>
      </c>
      <c r="P100" s="208">
        <f>P101*N100</f>
        <v>0</v>
      </c>
      <c r="Q100" s="232">
        <f>$Q$12</f>
        <v>0</v>
      </c>
      <c r="R100" s="228">
        <f>$R$12</f>
        <v>0.15</v>
      </c>
      <c r="S100" s="200">
        <f>P100*Q100*S95</f>
        <v>0</v>
      </c>
      <c r="T100" s="200">
        <f>P100*R100*T95</f>
        <v>0</v>
      </c>
      <c r="U100" s="200">
        <f>S100+T100</f>
        <v>0</v>
      </c>
      <c r="V100" s="202"/>
      <c r="W100" s="203" t="str">
        <f>M101</f>
        <v> gesamt</v>
      </c>
      <c r="X100" s="204">
        <f>N101</f>
        <v>1</v>
      </c>
      <c r="Y100" s="213">
        <f>O101-P101</f>
        <v>0</v>
      </c>
      <c r="Z100" s="213">
        <f>SUM(Z97:Z99)</f>
        <v>0</v>
      </c>
      <c r="AA100" s="213">
        <f>SUM(AA97:AA99)</f>
        <v>0</v>
      </c>
      <c r="AB100" s="233"/>
      <c r="AC100" s="234"/>
      <c r="AD100" s="214"/>
      <c r="AE100" s="214"/>
      <c r="AF100" s="214"/>
      <c r="AG100" s="214">
        <f>SUM(AG97:AG99)</f>
        <v>0</v>
      </c>
      <c r="AH100" s="214">
        <f>SUM(AH97:AH99)</f>
        <v>0</v>
      </c>
      <c r="AI100" s="234">
        <f>SUM(AI97:AI99)</f>
        <v>0</v>
      </c>
    </row>
    <row r="101" spans="1:35" ht="12.75">
      <c r="A101" s="604" t="s">
        <v>180</v>
      </c>
      <c r="B101" s="183" t="s">
        <v>251</v>
      </c>
      <c r="C101" s="184"/>
      <c r="D101" s="184"/>
      <c r="E101" s="184"/>
      <c r="F101" s="184"/>
      <c r="G101" s="1359">
        <f>(G100+G98)/2</f>
        <v>0.2318514397965708</v>
      </c>
      <c r="H101" s="1360"/>
      <c r="I101" s="598"/>
      <c r="J101" s="598"/>
      <c r="K101" s="1368"/>
      <c r="L101" s="202"/>
      <c r="M101" s="203" t="s">
        <v>223</v>
      </c>
      <c r="N101" s="204">
        <f>SUM(N97:N100)</f>
        <v>1</v>
      </c>
      <c r="O101" s="213">
        <f>$O$13</f>
        <v>0</v>
      </c>
      <c r="P101" s="213">
        <f>O101*(1-K94)</f>
        <v>0</v>
      </c>
      <c r="Q101" s="233"/>
      <c r="R101" s="229"/>
      <c r="S101" s="214">
        <f>SUM(S97:S100)</f>
        <v>0</v>
      </c>
      <c r="T101" s="214">
        <f>SUM(T97:T100)</f>
        <v>0</v>
      </c>
      <c r="U101" s="214">
        <f>SUM(U97:U100)</f>
        <v>0</v>
      </c>
      <c r="V101" s="195"/>
      <c r="W101" s="196"/>
      <c r="X101" s="197"/>
      <c r="Y101" s="197"/>
      <c r="Z101" s="1374">
        <f>Z100+AA100</f>
        <v>0</v>
      </c>
      <c r="AA101" s="1375"/>
      <c r="AB101" s="215"/>
      <c r="AC101" s="215"/>
      <c r="AD101" s="195"/>
      <c r="AE101" s="195"/>
      <c r="AF101" s="195"/>
      <c r="AG101" s="1374">
        <f>AG100+AH100</f>
        <v>0</v>
      </c>
      <c r="AH101" s="1375"/>
      <c r="AI101" s="215"/>
    </row>
    <row r="102" spans="1:35" ht="12.75">
      <c r="A102" s="604" t="s">
        <v>180</v>
      </c>
      <c r="B102" s="183" t="s">
        <v>294</v>
      </c>
      <c r="C102" s="184"/>
      <c r="D102" s="184"/>
      <c r="E102" s="184"/>
      <c r="F102" s="184"/>
      <c r="G102" s="1359">
        <f>G101-G113</f>
        <v>0.2318514397965708</v>
      </c>
      <c r="H102" s="1360"/>
      <c r="I102" s="598"/>
      <c r="J102" s="598"/>
      <c r="K102" s="1369"/>
      <c r="L102" s="195"/>
      <c r="M102" s="196" t="s">
        <v>213</v>
      </c>
      <c r="N102" s="611"/>
      <c r="O102" s="197">
        <f>SUM(O97:O100)</f>
        <v>0</v>
      </c>
      <c r="P102" s="197">
        <f>SUM(P97:P100)</f>
        <v>0</v>
      </c>
      <c r="Q102" s="215"/>
      <c r="R102" s="215"/>
      <c r="S102" s="1374">
        <f>S101+T101</f>
        <v>0</v>
      </c>
      <c r="T102" s="1375"/>
      <c r="U102" s="243"/>
      <c r="V102" s="612"/>
      <c r="W102" s="598"/>
      <c r="X102" s="612"/>
      <c r="Y102" s="612"/>
      <c r="Z102" s="612"/>
      <c r="AA102" s="598"/>
      <c r="AB102" s="613">
        <f>IF(O101=0,0,Z100/O101)</f>
        <v>0</v>
      </c>
      <c r="AC102" s="613">
        <f>IF(O101=0,0,AA100/O101)</f>
        <v>0</v>
      </c>
      <c r="AD102" s="612"/>
      <c r="AE102" s="598"/>
      <c r="AF102" s="612"/>
      <c r="AG102" s="598"/>
      <c r="AH102" s="598"/>
      <c r="AI102" s="612"/>
    </row>
    <row r="103" spans="1:35" ht="12.75">
      <c r="A103" s="604" t="s">
        <v>180</v>
      </c>
      <c r="B103" s="183" t="s">
        <v>295</v>
      </c>
      <c r="C103" s="184"/>
      <c r="D103" s="184"/>
      <c r="E103" s="184"/>
      <c r="F103" s="184"/>
      <c r="G103" s="1378">
        <f>G102*G31</f>
        <v>0</v>
      </c>
      <c r="H103" s="1377"/>
      <c r="I103" s="598"/>
      <c r="J103" s="598"/>
      <c r="K103" s="598"/>
      <c r="L103" s="216"/>
      <c r="M103" s="216"/>
      <c r="N103" s="217"/>
      <c r="O103" s="218"/>
      <c r="P103" s="219"/>
      <c r="Q103" s="220"/>
      <c r="R103" s="221"/>
      <c r="S103" s="222"/>
      <c r="T103" s="223"/>
      <c r="U103" s="224"/>
      <c r="V103" s="612"/>
      <c r="W103" s="598"/>
      <c r="X103" s="612"/>
      <c r="Y103" s="612"/>
      <c r="Z103" s="612"/>
      <c r="AA103" s="598"/>
      <c r="AB103" s="1365">
        <f>AB102+AC102</f>
        <v>0</v>
      </c>
      <c r="AC103" s="1366"/>
      <c r="AD103" s="614"/>
      <c r="AE103" s="598"/>
      <c r="AF103" s="612"/>
      <c r="AG103" s="598"/>
      <c r="AH103" s="598"/>
      <c r="AI103" s="598"/>
    </row>
    <row r="104" spans="1:35" ht="12.75">
      <c r="A104" s="598"/>
      <c r="B104" s="598"/>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603"/>
      <c r="AH104" s="603"/>
      <c r="AI104" s="598"/>
    </row>
    <row r="105" spans="1:35" ht="12.75">
      <c r="A105" s="604"/>
      <c r="B105" s="186" t="s">
        <v>564</v>
      </c>
      <c r="C105" s="188"/>
      <c r="D105" s="188"/>
      <c r="E105" s="184"/>
      <c r="F105" s="184"/>
      <c r="G105" s="1361">
        <f>IF(F12&gt;67,2,1)</f>
        <v>2</v>
      </c>
      <c r="H105" s="1362"/>
      <c r="I105" s="598"/>
      <c r="J105" s="598"/>
      <c r="K105" s="1367">
        <v>0.7</v>
      </c>
      <c r="L105" s="235" t="s">
        <v>220</v>
      </c>
      <c r="M105" s="193"/>
      <c r="N105" s="193"/>
      <c r="O105" s="205" t="s">
        <v>125</v>
      </c>
      <c r="P105" s="206" t="s">
        <v>222</v>
      </c>
      <c r="Q105" s="230" t="s">
        <v>5</v>
      </c>
      <c r="R105" s="226" t="s">
        <v>232</v>
      </c>
      <c r="S105" s="212" t="s">
        <v>129</v>
      </c>
      <c r="T105" s="212" t="s">
        <v>129</v>
      </c>
      <c r="U105" s="212" t="s">
        <v>211</v>
      </c>
      <c r="V105" s="235" t="s">
        <v>229</v>
      </c>
      <c r="W105" s="193"/>
      <c r="X105" s="193"/>
      <c r="Y105" s="206" t="s">
        <v>212</v>
      </c>
      <c r="Z105" s="206" t="s">
        <v>212</v>
      </c>
      <c r="AA105" s="206" t="s">
        <v>212</v>
      </c>
      <c r="AB105" s="230" t="s">
        <v>231</v>
      </c>
      <c r="AC105" s="211" t="s">
        <v>233</v>
      </c>
      <c r="AD105" s="211" t="s">
        <v>233</v>
      </c>
      <c r="AE105" s="211" t="s">
        <v>5</v>
      </c>
      <c r="AF105" s="211" t="s">
        <v>5</v>
      </c>
      <c r="AG105" s="242" t="s">
        <v>129</v>
      </c>
      <c r="AH105" s="242" t="s">
        <v>129</v>
      </c>
      <c r="AI105" s="212" t="s">
        <v>211</v>
      </c>
    </row>
    <row r="106" spans="1:35" ht="12.75">
      <c r="A106" s="604"/>
      <c r="B106" s="186" t="s">
        <v>565</v>
      </c>
      <c r="C106" s="188"/>
      <c r="D106" s="188"/>
      <c r="E106" s="184"/>
      <c r="F106" s="184"/>
      <c r="G106" s="1361">
        <f>IF(F12&gt;67,IF(G6&gt;10,2,1),0)</f>
        <v>1</v>
      </c>
      <c r="H106" s="1362"/>
      <c r="I106" s="598"/>
      <c r="J106" s="598"/>
      <c r="K106" s="1368"/>
      <c r="L106" s="193"/>
      <c r="M106" s="193"/>
      <c r="N106" s="194"/>
      <c r="O106" s="205" t="s">
        <v>211</v>
      </c>
      <c r="P106" s="207" t="s">
        <v>221</v>
      </c>
      <c r="Q106" s="605" t="str">
        <f>$Q$7</f>
        <v>0-20Jahre</v>
      </c>
      <c r="R106" s="606" t="str">
        <f>$R$7</f>
        <v>21-20 Jahre</v>
      </c>
      <c r="S106" s="607">
        <f>$S$7</f>
        <v>1</v>
      </c>
      <c r="T106" s="607">
        <f>$T$7</f>
        <v>0</v>
      </c>
      <c r="U106" s="608" t="str">
        <f>$U$7</f>
        <v>0-20 Jahre</v>
      </c>
      <c r="V106" s="193"/>
      <c r="W106" s="193"/>
      <c r="X106" s="194"/>
      <c r="Y106" s="209" t="s">
        <v>211</v>
      </c>
      <c r="Z106" s="237">
        <f>$Z$7</f>
        <v>0.3</v>
      </c>
      <c r="AA106" s="238">
        <f>Z106</f>
        <v>0.3</v>
      </c>
      <c r="AB106" s="605" t="str">
        <f>"0-"&amp;G200&amp;"Jahre"</f>
        <v>0-Jahre</v>
      </c>
      <c r="AC106" s="609" t="str">
        <f>"bis "&amp;Z106*100&amp;"%"</f>
        <v>bis 30%</v>
      </c>
      <c r="AD106" s="609" t="str">
        <f>"über "&amp;AA106*100&amp;"%"</f>
        <v>über 30%</v>
      </c>
      <c r="AE106" s="609" t="str">
        <f>"bis "&amp;Z106*100&amp;"%"</f>
        <v>bis 30%</v>
      </c>
      <c r="AF106" s="609" t="str">
        <f>"über "&amp;AA106*100&amp;"%"</f>
        <v>über 30%</v>
      </c>
      <c r="AG106" s="1370">
        <f>$AG$7</f>
        <v>1</v>
      </c>
      <c r="AH106" s="1371"/>
      <c r="AI106" s="609" t="str">
        <f>$AI$7</f>
        <v>0-20 Jahre</v>
      </c>
    </row>
    <row r="107" spans="1:35" ht="12.75">
      <c r="A107" s="604"/>
      <c r="B107" s="186" t="s">
        <v>566</v>
      </c>
      <c r="C107" s="188"/>
      <c r="D107" s="188"/>
      <c r="E107" s="619">
        <v>0.3</v>
      </c>
      <c r="F107" s="866">
        <f>ROUND($G$111*E107,4)</f>
        <v>0</v>
      </c>
      <c r="G107" s="1363">
        <f>IF((84+1)-F12&lt;0,0,(84+1)-F12)</f>
        <v>17</v>
      </c>
      <c r="H107" s="1364"/>
      <c r="I107" s="598"/>
      <c r="J107" s="598"/>
      <c r="K107" s="1368"/>
      <c r="L107" s="193" t="str">
        <f>$L$8</f>
        <v>Dachanlage</v>
      </c>
      <c r="M107" s="193"/>
      <c r="N107" s="194" t="s">
        <v>110</v>
      </c>
      <c r="O107" s="205" t="s">
        <v>126</v>
      </c>
      <c r="P107" s="205" t="s">
        <v>126</v>
      </c>
      <c r="Q107" s="231" t="s">
        <v>128</v>
      </c>
      <c r="R107" s="227" t="s">
        <v>128</v>
      </c>
      <c r="S107" s="201" t="s">
        <v>130</v>
      </c>
      <c r="T107" s="201" t="s">
        <v>130</v>
      </c>
      <c r="U107" s="201" t="s">
        <v>130</v>
      </c>
      <c r="V107" s="241"/>
      <c r="W107" s="193"/>
      <c r="X107" s="194" t="str">
        <f>N107</f>
        <v>Anteile</v>
      </c>
      <c r="Y107" s="210" t="s">
        <v>126</v>
      </c>
      <c r="Z107" s="210" t="s">
        <v>126</v>
      </c>
      <c r="AA107" s="210" t="s">
        <v>126</v>
      </c>
      <c r="AB107" s="231" t="s">
        <v>128</v>
      </c>
      <c r="AC107" s="231" t="s">
        <v>128</v>
      </c>
      <c r="AD107" s="231" t="s">
        <v>128</v>
      </c>
      <c r="AE107" s="231" t="s">
        <v>128</v>
      </c>
      <c r="AF107" s="231" t="s">
        <v>128</v>
      </c>
      <c r="AG107" s="201" t="s">
        <v>130</v>
      </c>
      <c r="AH107" s="201" t="s">
        <v>130</v>
      </c>
      <c r="AI107" s="201" t="s">
        <v>130</v>
      </c>
    </row>
    <row r="108" spans="1:35" ht="12.75">
      <c r="A108" s="604"/>
      <c r="B108" s="186" t="s">
        <v>567</v>
      </c>
      <c r="C108" s="188"/>
      <c r="D108" s="188"/>
      <c r="E108" s="619">
        <v>0.35</v>
      </c>
      <c r="F108" s="866">
        <f>ROUND($G$111*E108,4)</f>
        <v>0</v>
      </c>
      <c r="G108" s="1363">
        <f>IF(ZRB!F12&gt;96,0,IF(ZRB!F12&lt;85,12,(96+1)-ZRB!F12))</f>
        <v>12</v>
      </c>
      <c r="H108" s="1364"/>
      <c r="I108" s="598"/>
      <c r="J108" s="598"/>
      <c r="K108" s="1368"/>
      <c r="L108" s="1372">
        <f>$L$9</f>
        <v>10</v>
      </c>
      <c r="M108" s="1372"/>
      <c r="N108" s="198">
        <f>$N$9</f>
        <v>1</v>
      </c>
      <c r="O108" s="208">
        <f>$O$9</f>
        <v>0</v>
      </c>
      <c r="P108" s="208">
        <f>P112*N108</f>
        <v>0</v>
      </c>
      <c r="Q108" s="232">
        <f>$Q$9</f>
        <v>0.1275</v>
      </c>
      <c r="R108" s="228">
        <f>$R$9</f>
        <v>0.15</v>
      </c>
      <c r="S108" s="200">
        <f>P108*Q108*S106</f>
        <v>0</v>
      </c>
      <c r="T108" s="200">
        <f>P108*R108*T106</f>
        <v>0</v>
      </c>
      <c r="U108" s="200">
        <f>S108+T108</f>
        <v>0</v>
      </c>
      <c r="V108" s="246" t="s">
        <v>245</v>
      </c>
      <c r="W108" s="247">
        <f>L108</f>
        <v>10</v>
      </c>
      <c r="X108" s="198">
        <f>N108</f>
        <v>1</v>
      </c>
      <c r="Y108" s="208">
        <f>Y111*N108</f>
        <v>0</v>
      </c>
      <c r="Z108" s="208">
        <f>IF(O108=0,0,IF((Y108/O108)&gt;Z106,O108*Z106,Y108))</f>
        <v>0</v>
      </c>
      <c r="AA108" s="208">
        <f>IF(O108=0,0,IF((Y108/O108)&gt;Z106,Y108-(O108*Z106),0))</f>
        <v>0</v>
      </c>
      <c r="AB108" s="232">
        <f>$AB$9</f>
        <v>0.1275</v>
      </c>
      <c r="AC108" s="199">
        <f>$AC$9</f>
        <v>0</v>
      </c>
      <c r="AD108" s="199">
        <f>$AD$9</f>
        <v>0</v>
      </c>
      <c r="AE108" s="199">
        <f>IF($G$6&gt;$AB$4,0,IF($AB$5=3,0,AB108-AC108))</f>
        <v>0</v>
      </c>
      <c r="AF108" s="199">
        <f>IF($G$6&gt;$AB$4,0,IF($AB$5=3,0,AB108-AD108))</f>
        <v>0</v>
      </c>
      <c r="AG108" s="200">
        <f>Z108*AE108*AG106</f>
        <v>0</v>
      </c>
      <c r="AH108" s="200">
        <f>AA108*AF108*AG106</f>
        <v>0</v>
      </c>
      <c r="AI108" s="200">
        <f>AG108+AH108</f>
        <v>0</v>
      </c>
    </row>
    <row r="109" spans="1:35" ht="12.75">
      <c r="A109" s="604"/>
      <c r="B109" s="186" t="s">
        <v>569</v>
      </c>
      <c r="C109" s="188"/>
      <c r="D109" s="188"/>
      <c r="E109" s="619">
        <v>0.4</v>
      </c>
      <c r="F109" s="866">
        <f>ROUND($G$111*E109,4)</f>
        <v>0</v>
      </c>
      <c r="G109" s="1363">
        <f>G110-(G107+G108)</f>
        <v>211</v>
      </c>
      <c r="H109" s="1364"/>
      <c r="I109" s="598"/>
      <c r="J109" s="598"/>
      <c r="K109" s="1368"/>
      <c r="L109" s="1372">
        <f>$L$10</f>
        <v>40</v>
      </c>
      <c r="M109" s="1372"/>
      <c r="N109" s="198">
        <f>$N$10</f>
        <v>0</v>
      </c>
      <c r="O109" s="208">
        <f>$O$10</f>
        <v>0</v>
      </c>
      <c r="P109" s="208">
        <f>P112*N109</f>
        <v>0</v>
      </c>
      <c r="Q109" s="232">
        <f>$Q$10</f>
        <v>0.124</v>
      </c>
      <c r="R109" s="228">
        <f>$R$10</f>
        <v>0.15</v>
      </c>
      <c r="S109" s="200">
        <f>P109*Q109*S106</f>
        <v>0</v>
      </c>
      <c r="T109" s="200">
        <f>P109*R109*T106</f>
        <v>0</v>
      </c>
      <c r="U109" s="200">
        <f>S109+T109</f>
        <v>0</v>
      </c>
      <c r="V109" s="246" t="s">
        <v>245</v>
      </c>
      <c r="W109" s="247">
        <f>L109</f>
        <v>40</v>
      </c>
      <c r="X109" s="198">
        <f>N109</f>
        <v>0</v>
      </c>
      <c r="Y109" s="208">
        <f>Y111*N109</f>
        <v>0</v>
      </c>
      <c r="Z109" s="208">
        <f>IF(O109=0,0,IF((Y109/O109)&gt;Z106,O109*Z106,Y109))</f>
        <v>0</v>
      </c>
      <c r="AA109" s="208">
        <f>IF(O109=0,0,IF((Y109/O109)&gt;Z106,Y109-(O109*Z106),0))</f>
        <v>0</v>
      </c>
      <c r="AB109" s="232">
        <f>$AB$10</f>
        <v>0.124</v>
      </c>
      <c r="AC109" s="199">
        <f>$AC$10</f>
        <v>0</v>
      </c>
      <c r="AD109" s="199">
        <f>$AD$10</f>
        <v>0</v>
      </c>
      <c r="AE109" s="199">
        <f>IF($G$6&gt;$AB$4,0,IF($AB$5=3,0,AB109-AC109))</f>
        <v>0</v>
      </c>
      <c r="AF109" s="199">
        <f>IF($G$6&gt;$AB$4,0,IF($AB$5=3,0,AB109-AD109))</f>
        <v>0</v>
      </c>
      <c r="AG109" s="200">
        <f>Z109*AE109*AG106</f>
        <v>0</v>
      </c>
      <c r="AH109" s="200">
        <f>AA109*AF109*AG106</f>
        <v>0</v>
      </c>
      <c r="AI109" s="200">
        <f>AG109+AH109</f>
        <v>0</v>
      </c>
    </row>
    <row r="110" spans="1:35" ht="12.75">
      <c r="A110" s="604"/>
      <c r="B110" s="186" t="s">
        <v>568</v>
      </c>
      <c r="C110" s="188"/>
      <c r="D110" s="188"/>
      <c r="E110" s="184"/>
      <c r="F110" s="184"/>
      <c r="G110" s="1363">
        <f>G89*12</f>
        <v>240</v>
      </c>
      <c r="H110" s="1364"/>
      <c r="I110" s="598"/>
      <c r="J110" s="598"/>
      <c r="K110" s="1368"/>
      <c r="L110" s="1372">
        <f>$L$11</f>
        <v>1000</v>
      </c>
      <c r="M110" s="1372"/>
      <c r="N110" s="198">
        <f>$N$11</f>
        <v>0</v>
      </c>
      <c r="O110" s="208">
        <f>$O$11</f>
        <v>0</v>
      </c>
      <c r="P110" s="208">
        <f>P112*N110</f>
        <v>0</v>
      </c>
      <c r="Q110" s="232">
        <f>$Q$11</f>
        <v>0.1109</v>
      </c>
      <c r="R110" s="228">
        <f>$R$11</f>
        <v>0.15</v>
      </c>
      <c r="S110" s="200">
        <f>P110*Q110*S106</f>
        <v>0</v>
      </c>
      <c r="T110" s="200">
        <f>P110*R110*T106</f>
        <v>0</v>
      </c>
      <c r="U110" s="200">
        <f>S110+T110</f>
        <v>0</v>
      </c>
      <c r="V110" s="246" t="s">
        <v>245</v>
      </c>
      <c r="W110" s="248">
        <v>500</v>
      </c>
      <c r="X110" s="198">
        <f>N110</f>
        <v>0</v>
      </c>
      <c r="Y110" s="208">
        <f>Y111*N110</f>
        <v>0</v>
      </c>
      <c r="Z110" s="208">
        <f>IF(O110=0,0,IF((Y110/O110)&gt;Z106,O110*Z106,Y110))</f>
        <v>0</v>
      </c>
      <c r="AA110" s="208">
        <f>IF(O110=0,0,IF((Y110/O110)&gt;Z106,Y110-(O110*Z106),0))</f>
        <v>0</v>
      </c>
      <c r="AB110" s="232">
        <f>$AB$11</f>
        <v>0.1109</v>
      </c>
      <c r="AC110" s="199">
        <f>$AC$11</f>
        <v>0</v>
      </c>
      <c r="AD110" s="199">
        <f>$AD$11</f>
        <v>0</v>
      </c>
      <c r="AE110" s="199">
        <f>IF($G$6&gt;$AB$4,0,IF($AB$5=3,0,AB110-AC110))</f>
        <v>0</v>
      </c>
      <c r="AF110" s="199">
        <f>IF($G$6&gt;$AB$4,0,IF($AB$5=3,0,AB110-AD110))</f>
        <v>0</v>
      </c>
      <c r="AG110" s="200">
        <f>Z110*AE110*AG106</f>
        <v>0</v>
      </c>
      <c r="AH110" s="200">
        <f>AA110*AF110*AG106</f>
        <v>0</v>
      </c>
      <c r="AI110" s="200">
        <f>AG110+AH110</f>
        <v>0</v>
      </c>
    </row>
    <row r="111" spans="1:35" ht="12.75">
      <c r="A111" s="604"/>
      <c r="B111" s="186" t="s">
        <v>571</v>
      </c>
      <c r="C111" s="188"/>
      <c r="D111" s="188"/>
      <c r="E111" s="184"/>
      <c r="F111" s="184"/>
      <c r="G111" s="1357">
        <f>Kalkulation_Eigenstrom!CE67/100</f>
        <v>0</v>
      </c>
      <c r="H111" s="1358"/>
      <c r="I111" s="598"/>
      <c r="J111" s="598"/>
      <c r="K111" s="1368"/>
      <c r="L111" s="1373">
        <f>$L$12</f>
        <v>1000</v>
      </c>
      <c r="M111" s="1373"/>
      <c r="N111" s="198">
        <f>$N$12</f>
        <v>0</v>
      </c>
      <c r="O111" s="208">
        <f>$O$12</f>
        <v>0</v>
      </c>
      <c r="P111" s="208">
        <f>P112*N111</f>
        <v>0</v>
      </c>
      <c r="Q111" s="232">
        <f>$Q$12</f>
        <v>0</v>
      </c>
      <c r="R111" s="228">
        <f>$R$12</f>
        <v>0.15</v>
      </c>
      <c r="S111" s="200">
        <f>P111*Q111*S106</f>
        <v>0</v>
      </c>
      <c r="T111" s="200">
        <f>P111*R111*T106</f>
        <v>0</v>
      </c>
      <c r="U111" s="200">
        <f>S111+T111</f>
        <v>0</v>
      </c>
      <c r="V111" s="202"/>
      <c r="W111" s="203" t="str">
        <f>M112</f>
        <v> gesamt</v>
      </c>
      <c r="X111" s="204">
        <f>N112</f>
        <v>1</v>
      </c>
      <c r="Y111" s="213">
        <f>O112-P112</f>
        <v>0</v>
      </c>
      <c r="Z111" s="213">
        <f>SUM(Z108:Z110)</f>
        <v>0</v>
      </c>
      <c r="AA111" s="213">
        <f>SUM(AA108:AA110)</f>
        <v>0</v>
      </c>
      <c r="AB111" s="233"/>
      <c r="AC111" s="234"/>
      <c r="AD111" s="214"/>
      <c r="AE111" s="214"/>
      <c r="AF111" s="214"/>
      <c r="AG111" s="214">
        <f>SUM(AG108:AG110)</f>
        <v>0</v>
      </c>
      <c r="AH111" s="214">
        <f>SUM(AH108:AH110)</f>
        <v>0</v>
      </c>
      <c r="AI111" s="234">
        <f>SUM(AI108:AI110)</f>
        <v>0</v>
      </c>
    </row>
    <row r="112" spans="1:35" ht="12.75">
      <c r="A112" s="604"/>
      <c r="B112" s="186" t="s">
        <v>572</v>
      </c>
      <c r="C112" s="188"/>
      <c r="D112" s="188"/>
      <c r="E112" s="184"/>
      <c r="F112" s="184"/>
      <c r="G112" s="1357">
        <f>(G107*F107+G108*F108+G109*F109)/G110</f>
        <v>0</v>
      </c>
      <c r="H112" s="1358"/>
      <c r="I112" s="598"/>
      <c r="J112" s="598"/>
      <c r="K112" s="1368"/>
      <c r="L112" s="202"/>
      <c r="M112" s="203" t="s">
        <v>223</v>
      </c>
      <c r="N112" s="204">
        <f>SUM(N108:N111)</f>
        <v>1</v>
      </c>
      <c r="O112" s="213">
        <f>$O$13</f>
        <v>0</v>
      </c>
      <c r="P112" s="213">
        <f>O112*(1-K105)</f>
        <v>0</v>
      </c>
      <c r="Q112" s="233"/>
      <c r="R112" s="229"/>
      <c r="S112" s="214">
        <f>SUM(S108:S111)</f>
        <v>0</v>
      </c>
      <c r="T112" s="214">
        <f>SUM(T108:T111)</f>
        <v>0</v>
      </c>
      <c r="U112" s="214">
        <f>SUM(U108:U111)</f>
        <v>0</v>
      </c>
      <c r="V112" s="195"/>
      <c r="W112" s="196"/>
      <c r="X112" s="197"/>
      <c r="Y112" s="197"/>
      <c r="Z112" s="1374">
        <f>Z111+AA111</f>
        <v>0</v>
      </c>
      <c r="AA112" s="1375"/>
      <c r="AB112" s="215"/>
      <c r="AC112" s="215"/>
      <c r="AD112" s="195"/>
      <c r="AE112" s="195"/>
      <c r="AF112" s="195"/>
      <c r="AG112" s="1374">
        <f>AG111+AH111</f>
        <v>0</v>
      </c>
      <c r="AH112" s="1375"/>
      <c r="AI112" s="215"/>
    </row>
    <row r="113" spans="1:35" ht="12.75">
      <c r="A113" s="604"/>
      <c r="B113" s="186" t="s">
        <v>573</v>
      </c>
      <c r="C113" s="188"/>
      <c r="D113" s="188"/>
      <c r="E113" s="184"/>
      <c r="F113" s="184"/>
      <c r="G113" s="1359">
        <f>G87+G112</f>
        <v>0</v>
      </c>
      <c r="H113" s="1360"/>
      <c r="I113" s="598"/>
      <c r="J113" s="598"/>
      <c r="K113" s="1369"/>
      <c r="L113" s="195"/>
      <c r="M113" s="196" t="s">
        <v>213</v>
      </c>
      <c r="N113" s="611"/>
      <c r="O113" s="197">
        <f>SUM(O108:O111)</f>
        <v>0</v>
      </c>
      <c r="P113" s="197">
        <f>SUM(P108:P111)</f>
        <v>0</v>
      </c>
      <c r="Q113" s="215"/>
      <c r="R113" s="215"/>
      <c r="S113" s="1374">
        <f>S112+T112</f>
        <v>0</v>
      </c>
      <c r="T113" s="1375"/>
      <c r="U113" s="243"/>
      <c r="V113" s="612"/>
      <c r="W113" s="598"/>
      <c r="X113" s="612"/>
      <c r="Y113" s="612"/>
      <c r="Z113" s="612"/>
      <c r="AA113" s="598"/>
      <c r="AB113" s="613">
        <f>IF(O112=0,0,Z111/O112)</f>
        <v>0</v>
      </c>
      <c r="AC113" s="613">
        <f>IF(O112=0,0,AA111/O112)</f>
        <v>0</v>
      </c>
      <c r="AD113" s="612"/>
      <c r="AE113" s="598"/>
      <c r="AF113" s="612"/>
      <c r="AG113" s="598"/>
      <c r="AH113" s="598"/>
      <c r="AI113" s="612"/>
    </row>
    <row r="114" spans="1:35" ht="12.75">
      <c r="A114" s="604"/>
      <c r="B114" s="186"/>
      <c r="C114" s="188"/>
      <c r="D114" s="188"/>
      <c r="E114" s="184"/>
      <c r="F114" s="184"/>
      <c r="G114" s="1359"/>
      <c r="H114" s="1360"/>
      <c r="I114" s="598"/>
      <c r="J114" s="598"/>
      <c r="K114" s="598"/>
      <c r="L114" s="216"/>
      <c r="M114" s="216"/>
      <c r="N114" s="217"/>
      <c r="O114" s="218"/>
      <c r="P114" s="219"/>
      <c r="Q114" s="220"/>
      <c r="R114" s="221"/>
      <c r="S114" s="222"/>
      <c r="T114" s="223"/>
      <c r="U114" s="224"/>
      <c r="V114" s="612"/>
      <c r="W114" s="598"/>
      <c r="X114" s="612"/>
      <c r="Y114" s="612"/>
      <c r="Z114" s="612"/>
      <c r="AA114" s="598"/>
      <c r="AB114" s="1365">
        <f>AB113+AC113</f>
        <v>0</v>
      </c>
      <c r="AC114" s="1366"/>
      <c r="AD114" s="614"/>
      <c r="AE114" s="598"/>
      <c r="AF114" s="612"/>
      <c r="AG114" s="598"/>
      <c r="AH114" s="598"/>
      <c r="AI114" s="598"/>
    </row>
    <row r="115" spans="1:35" ht="12.75">
      <c r="A115" s="604"/>
      <c r="B115" s="186"/>
      <c r="C115" s="188"/>
      <c r="D115" s="188"/>
      <c r="E115" s="184"/>
      <c r="F115" s="184"/>
      <c r="G115" s="1359"/>
      <c r="H115" s="1360"/>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603"/>
      <c r="AH115" s="603"/>
      <c r="AI115" s="598"/>
    </row>
    <row r="116" spans="1:35" ht="12.75">
      <c r="A116" s="604"/>
      <c r="B116" s="186"/>
      <c r="C116" s="188"/>
      <c r="D116" s="188"/>
      <c r="E116" s="184"/>
      <c r="F116" s="184"/>
      <c r="G116" s="1359"/>
      <c r="H116" s="1360"/>
      <c r="I116" s="598"/>
      <c r="J116" s="598"/>
      <c r="K116" s="1367">
        <v>0.8</v>
      </c>
      <c r="L116" s="235" t="s">
        <v>220</v>
      </c>
      <c r="M116" s="193"/>
      <c r="N116" s="193"/>
      <c r="O116" s="205" t="s">
        <v>125</v>
      </c>
      <c r="P116" s="206" t="s">
        <v>222</v>
      </c>
      <c r="Q116" s="230" t="s">
        <v>5</v>
      </c>
      <c r="R116" s="226" t="s">
        <v>232</v>
      </c>
      <c r="S116" s="212" t="s">
        <v>129</v>
      </c>
      <c r="T116" s="212" t="s">
        <v>129</v>
      </c>
      <c r="U116" s="212" t="s">
        <v>211</v>
      </c>
      <c r="V116" s="235" t="s">
        <v>229</v>
      </c>
      <c r="W116" s="193"/>
      <c r="X116" s="193"/>
      <c r="Y116" s="206" t="s">
        <v>212</v>
      </c>
      <c r="Z116" s="206" t="s">
        <v>212</v>
      </c>
      <c r="AA116" s="206" t="s">
        <v>212</v>
      </c>
      <c r="AB116" s="230" t="s">
        <v>231</v>
      </c>
      <c r="AC116" s="211" t="s">
        <v>233</v>
      </c>
      <c r="AD116" s="211" t="s">
        <v>233</v>
      </c>
      <c r="AE116" s="211" t="s">
        <v>5</v>
      </c>
      <c r="AF116" s="211" t="s">
        <v>5</v>
      </c>
      <c r="AG116" s="242" t="s">
        <v>129</v>
      </c>
      <c r="AH116" s="242" t="s">
        <v>129</v>
      </c>
      <c r="AI116" s="212" t="s">
        <v>211</v>
      </c>
    </row>
    <row r="117" spans="1:35" ht="12.75">
      <c r="A117" s="604"/>
      <c r="B117" s="186"/>
      <c r="C117" s="188"/>
      <c r="D117" s="188"/>
      <c r="E117" s="184"/>
      <c r="F117" s="184"/>
      <c r="G117" s="1359"/>
      <c r="H117" s="1360"/>
      <c r="I117" s="598"/>
      <c r="J117" s="598"/>
      <c r="K117" s="1368"/>
      <c r="L117" s="193"/>
      <c r="M117" s="193"/>
      <c r="N117" s="194"/>
      <c r="O117" s="205" t="s">
        <v>211</v>
      </c>
      <c r="P117" s="207" t="s">
        <v>221</v>
      </c>
      <c r="Q117" s="605" t="str">
        <f>$Q$7</f>
        <v>0-20Jahre</v>
      </c>
      <c r="R117" s="606" t="str">
        <f>$R$7</f>
        <v>21-20 Jahre</v>
      </c>
      <c r="S117" s="607">
        <f>$S$7</f>
        <v>1</v>
      </c>
      <c r="T117" s="607">
        <f>$T$7</f>
        <v>0</v>
      </c>
      <c r="U117" s="608" t="str">
        <f>$U$7</f>
        <v>0-20 Jahre</v>
      </c>
      <c r="V117" s="193"/>
      <c r="W117" s="193"/>
      <c r="X117" s="194"/>
      <c r="Y117" s="209" t="s">
        <v>211</v>
      </c>
      <c r="Z117" s="237">
        <f>$Z$7</f>
        <v>0.3</v>
      </c>
      <c r="AA117" s="238">
        <f>Z117</f>
        <v>0.3</v>
      </c>
      <c r="AB117" s="605" t="str">
        <f>"0-"&amp;G211&amp;"Jahre"</f>
        <v>0-Jahre</v>
      </c>
      <c r="AC117" s="609" t="str">
        <f>"bis "&amp;Z117*100&amp;"%"</f>
        <v>bis 30%</v>
      </c>
      <c r="AD117" s="609" t="str">
        <f>"über "&amp;AA117*100&amp;"%"</f>
        <v>über 30%</v>
      </c>
      <c r="AE117" s="609" t="str">
        <f>"bis "&amp;Z117*100&amp;"%"</f>
        <v>bis 30%</v>
      </c>
      <c r="AF117" s="609" t="str">
        <f>"über "&amp;AA117*100&amp;"%"</f>
        <v>über 30%</v>
      </c>
      <c r="AG117" s="1370">
        <f>$AG$7</f>
        <v>1</v>
      </c>
      <c r="AH117" s="1371"/>
      <c r="AI117" s="609" t="str">
        <f>$AI$7</f>
        <v>0-20 Jahre</v>
      </c>
    </row>
    <row r="118" spans="1:35" ht="12.75">
      <c r="A118" s="598"/>
      <c r="B118" s="598"/>
      <c r="C118" s="598"/>
      <c r="D118" s="598"/>
      <c r="E118" s="598"/>
      <c r="F118" s="598"/>
      <c r="G118" s="598"/>
      <c r="H118" s="598"/>
      <c r="I118" s="598"/>
      <c r="J118" s="598"/>
      <c r="K118" s="1368"/>
      <c r="L118" s="193" t="str">
        <f>$L$8</f>
        <v>Dachanlage</v>
      </c>
      <c r="M118" s="193"/>
      <c r="N118" s="194" t="s">
        <v>110</v>
      </c>
      <c r="O118" s="205" t="s">
        <v>126</v>
      </c>
      <c r="P118" s="205" t="s">
        <v>126</v>
      </c>
      <c r="Q118" s="231" t="s">
        <v>128</v>
      </c>
      <c r="R118" s="227" t="s">
        <v>128</v>
      </c>
      <c r="S118" s="201" t="s">
        <v>130</v>
      </c>
      <c r="T118" s="201" t="s">
        <v>130</v>
      </c>
      <c r="U118" s="201" t="s">
        <v>130</v>
      </c>
      <c r="V118" s="241"/>
      <c r="W118" s="193"/>
      <c r="X118" s="194" t="str">
        <f>N118</f>
        <v>Anteile</v>
      </c>
      <c r="Y118" s="210" t="s">
        <v>126</v>
      </c>
      <c r="Z118" s="210" t="s">
        <v>126</v>
      </c>
      <c r="AA118" s="210" t="s">
        <v>126</v>
      </c>
      <c r="AB118" s="231" t="s">
        <v>128</v>
      </c>
      <c r="AC118" s="231" t="s">
        <v>128</v>
      </c>
      <c r="AD118" s="231" t="s">
        <v>128</v>
      </c>
      <c r="AE118" s="231" t="s">
        <v>128</v>
      </c>
      <c r="AF118" s="231" t="s">
        <v>128</v>
      </c>
      <c r="AG118" s="201" t="s">
        <v>130</v>
      </c>
      <c r="AH118" s="201" t="s">
        <v>130</v>
      </c>
      <c r="AI118" s="201" t="s">
        <v>130</v>
      </c>
    </row>
    <row r="119" spans="1:35" ht="12.75">
      <c r="A119" s="598"/>
      <c r="B119" s="598"/>
      <c r="C119" s="598"/>
      <c r="D119" s="598"/>
      <c r="E119" s="598"/>
      <c r="F119" s="598"/>
      <c r="G119" s="598"/>
      <c r="H119" s="598"/>
      <c r="I119" s="598"/>
      <c r="J119" s="598"/>
      <c r="K119" s="1368"/>
      <c r="L119" s="1372">
        <f>$L$9</f>
        <v>10</v>
      </c>
      <c r="M119" s="1372"/>
      <c r="N119" s="198">
        <f>$N$9</f>
        <v>1</v>
      </c>
      <c r="O119" s="208">
        <f>$O$9</f>
        <v>0</v>
      </c>
      <c r="P119" s="208">
        <f>P123*N119</f>
        <v>0</v>
      </c>
      <c r="Q119" s="232">
        <f>$Q$9</f>
        <v>0.1275</v>
      </c>
      <c r="R119" s="228">
        <f>$R$9</f>
        <v>0.15</v>
      </c>
      <c r="S119" s="200">
        <f>P119*Q119*S117</f>
        <v>0</v>
      </c>
      <c r="T119" s="200">
        <f>P119*R119*T117</f>
        <v>0</v>
      </c>
      <c r="U119" s="200">
        <f>S119+T119</f>
        <v>0</v>
      </c>
      <c r="V119" s="246" t="s">
        <v>245</v>
      </c>
      <c r="W119" s="247">
        <f>L119</f>
        <v>10</v>
      </c>
      <c r="X119" s="198">
        <f>N119</f>
        <v>1</v>
      </c>
      <c r="Y119" s="208">
        <f>Y122*N119</f>
        <v>0</v>
      </c>
      <c r="Z119" s="208">
        <f>IF(O119=0,0,IF((Y119/O119)&gt;Z117,O119*Z117,Y119))</f>
        <v>0</v>
      </c>
      <c r="AA119" s="208">
        <f>IF(O119=0,0,IF((Y119/O119)&gt;Z117,Y119-(O119*Z117),0))</f>
        <v>0</v>
      </c>
      <c r="AB119" s="232">
        <f>$AB$9</f>
        <v>0.1275</v>
      </c>
      <c r="AC119" s="199">
        <f>$AC$9</f>
        <v>0</v>
      </c>
      <c r="AD119" s="199">
        <f>$AD$9</f>
        <v>0</v>
      </c>
      <c r="AE119" s="199">
        <f>IF($G$6&gt;$AB$4,0,IF($AB$5=3,0,AB119-AC119))</f>
        <v>0</v>
      </c>
      <c r="AF119" s="199">
        <f>IF($G$6&gt;$AB$4,0,IF($AB$5=3,0,AB119-AD119))</f>
        <v>0</v>
      </c>
      <c r="AG119" s="200">
        <f>Z119*AE119*AG117</f>
        <v>0</v>
      </c>
      <c r="AH119" s="200">
        <f>AA119*AF119*AG117</f>
        <v>0</v>
      </c>
      <c r="AI119" s="200">
        <f>AG119+AH119</f>
        <v>0</v>
      </c>
    </row>
    <row r="120" spans="1:35" ht="12.75">
      <c r="A120" s="598"/>
      <c r="B120" s="598"/>
      <c r="C120" s="598"/>
      <c r="D120" s="598"/>
      <c r="E120" s="598"/>
      <c r="F120" s="598"/>
      <c r="G120" s="598"/>
      <c r="H120" s="598"/>
      <c r="I120" s="598"/>
      <c r="J120" s="598"/>
      <c r="K120" s="1368"/>
      <c r="L120" s="1372">
        <f>$L$10</f>
        <v>40</v>
      </c>
      <c r="M120" s="1372"/>
      <c r="N120" s="198">
        <f>$N$10</f>
        <v>0</v>
      </c>
      <c r="O120" s="208">
        <f>$O$10</f>
        <v>0</v>
      </c>
      <c r="P120" s="208">
        <f>P123*N120</f>
        <v>0</v>
      </c>
      <c r="Q120" s="232">
        <f>$Q$10</f>
        <v>0.124</v>
      </c>
      <c r="R120" s="228">
        <f>$R$10</f>
        <v>0.15</v>
      </c>
      <c r="S120" s="200">
        <f>P120*Q120*S117</f>
        <v>0</v>
      </c>
      <c r="T120" s="200">
        <f>P120*R120*T117</f>
        <v>0</v>
      </c>
      <c r="U120" s="200">
        <f>S120+T120</f>
        <v>0</v>
      </c>
      <c r="V120" s="246" t="s">
        <v>245</v>
      </c>
      <c r="W120" s="247">
        <f>L120</f>
        <v>40</v>
      </c>
      <c r="X120" s="198">
        <f>N120</f>
        <v>0</v>
      </c>
      <c r="Y120" s="208">
        <f>Y122*N120</f>
        <v>0</v>
      </c>
      <c r="Z120" s="208">
        <f>IF(O120=0,0,IF((Y120/O120)&gt;Z117,O120*Z117,Y120))</f>
        <v>0</v>
      </c>
      <c r="AA120" s="208">
        <f>IF(O120=0,0,IF((Y120/O120)&gt;Z117,Y120-(O120*Z117),0))</f>
        <v>0</v>
      </c>
      <c r="AB120" s="232">
        <f>$AB$10</f>
        <v>0.124</v>
      </c>
      <c r="AC120" s="199">
        <f>$AC$10</f>
        <v>0</v>
      </c>
      <c r="AD120" s="199">
        <f>$AD$10</f>
        <v>0</v>
      </c>
      <c r="AE120" s="199">
        <f>IF($G$6&gt;$AB$4,0,IF($AB$5=3,0,AB120-AC120))</f>
        <v>0</v>
      </c>
      <c r="AF120" s="199">
        <f>IF($G$6&gt;$AB$4,0,IF($AB$5=3,0,AB120-AD120))</f>
        <v>0</v>
      </c>
      <c r="AG120" s="200">
        <f>Z120*AE120*AG117</f>
        <v>0</v>
      </c>
      <c r="AH120" s="200">
        <f>AA120*AF120*AG117</f>
        <v>0</v>
      </c>
      <c r="AI120" s="200">
        <f>AG120+AH120</f>
        <v>0</v>
      </c>
    </row>
    <row r="121" spans="1:35" ht="12.75">
      <c r="A121" s="598"/>
      <c r="B121" s="598"/>
      <c r="C121" s="598"/>
      <c r="D121" s="598"/>
      <c r="E121" s="598"/>
      <c r="F121" s="598"/>
      <c r="G121" s="598"/>
      <c r="H121" s="598"/>
      <c r="I121" s="598"/>
      <c r="J121" s="598"/>
      <c r="K121" s="1368"/>
      <c r="L121" s="1372">
        <f>$L$11</f>
        <v>1000</v>
      </c>
      <c r="M121" s="1372"/>
      <c r="N121" s="198">
        <f>$N$11</f>
        <v>0</v>
      </c>
      <c r="O121" s="208">
        <f>$O$11</f>
        <v>0</v>
      </c>
      <c r="P121" s="208">
        <f>P123*N121</f>
        <v>0</v>
      </c>
      <c r="Q121" s="232">
        <f>$Q$11</f>
        <v>0.1109</v>
      </c>
      <c r="R121" s="228">
        <f>$R$11</f>
        <v>0.15</v>
      </c>
      <c r="S121" s="200">
        <f>P121*Q121*S117</f>
        <v>0</v>
      </c>
      <c r="T121" s="200">
        <f>P121*R121*T117</f>
        <v>0</v>
      </c>
      <c r="U121" s="200">
        <f>S121+T121</f>
        <v>0</v>
      </c>
      <c r="V121" s="246" t="s">
        <v>245</v>
      </c>
      <c r="W121" s="248">
        <v>500</v>
      </c>
      <c r="X121" s="198">
        <f>N121</f>
        <v>0</v>
      </c>
      <c r="Y121" s="208">
        <f>Y122*N121</f>
        <v>0</v>
      </c>
      <c r="Z121" s="208">
        <f>IF(O121=0,0,IF((Y121/O121)&gt;Z117,O121*Z117,Y121))</f>
        <v>0</v>
      </c>
      <c r="AA121" s="208">
        <f>IF(O121=0,0,IF((Y121/O121)&gt;Z117,Y121-(O121*Z117),0))</f>
        <v>0</v>
      </c>
      <c r="AB121" s="232">
        <f>$AB$11</f>
        <v>0.1109</v>
      </c>
      <c r="AC121" s="199">
        <f>$AC$11</f>
        <v>0</v>
      </c>
      <c r="AD121" s="199">
        <f>$AD$11</f>
        <v>0</v>
      </c>
      <c r="AE121" s="199">
        <f>IF($G$6&gt;$AB$4,0,IF($AB$5=3,0,AB121-AC121))</f>
        <v>0</v>
      </c>
      <c r="AF121" s="199">
        <f>IF($G$6&gt;$AB$4,0,IF($AB$5=3,0,AB121-AD121))</f>
        <v>0</v>
      </c>
      <c r="AG121" s="200">
        <f>Z121*AE121*AG117</f>
        <v>0</v>
      </c>
      <c r="AH121" s="200">
        <f>AA121*AF121*AG117</f>
        <v>0</v>
      </c>
      <c r="AI121" s="200">
        <f>AG121+AH121</f>
        <v>0</v>
      </c>
    </row>
    <row r="122" spans="1:35" ht="12.75">
      <c r="A122" s="598"/>
      <c r="B122" s="598"/>
      <c r="C122" s="598"/>
      <c r="D122" s="598"/>
      <c r="E122" s="598"/>
      <c r="F122" s="598"/>
      <c r="G122" s="598"/>
      <c r="H122" s="598"/>
      <c r="I122" s="598"/>
      <c r="J122" s="598"/>
      <c r="K122" s="1368"/>
      <c r="L122" s="1373">
        <f>$L$12</f>
        <v>1000</v>
      </c>
      <c r="M122" s="1373"/>
      <c r="N122" s="198">
        <f>$N$12</f>
        <v>0</v>
      </c>
      <c r="O122" s="208">
        <f>$O$12</f>
        <v>0</v>
      </c>
      <c r="P122" s="208">
        <f>P123*N122</f>
        <v>0</v>
      </c>
      <c r="Q122" s="232">
        <f>$Q$12</f>
        <v>0</v>
      </c>
      <c r="R122" s="228">
        <f>$R$12</f>
        <v>0.15</v>
      </c>
      <c r="S122" s="200">
        <f>P122*Q122*S117</f>
        <v>0</v>
      </c>
      <c r="T122" s="200">
        <f>P122*R122*T117</f>
        <v>0</v>
      </c>
      <c r="U122" s="200">
        <f>S122+T122</f>
        <v>0</v>
      </c>
      <c r="V122" s="202"/>
      <c r="W122" s="203" t="str">
        <f>M123</f>
        <v> gesamt</v>
      </c>
      <c r="X122" s="204">
        <f>N123</f>
        <v>1</v>
      </c>
      <c r="Y122" s="213">
        <f>O123-P123</f>
        <v>0</v>
      </c>
      <c r="Z122" s="213">
        <f>SUM(Z119:Z121)</f>
        <v>0</v>
      </c>
      <c r="AA122" s="213">
        <f>SUM(AA119:AA121)</f>
        <v>0</v>
      </c>
      <c r="AB122" s="233"/>
      <c r="AC122" s="234"/>
      <c r="AD122" s="214"/>
      <c r="AE122" s="214"/>
      <c r="AF122" s="214"/>
      <c r="AG122" s="214">
        <f>SUM(AG119:AG121)</f>
        <v>0</v>
      </c>
      <c r="AH122" s="214">
        <f>SUM(AH119:AH121)</f>
        <v>0</v>
      </c>
      <c r="AI122" s="234">
        <f>SUM(AI119:AI121)</f>
        <v>0</v>
      </c>
    </row>
    <row r="123" spans="1:35" ht="12.75">
      <c r="A123" s="598"/>
      <c r="B123" s="598"/>
      <c r="C123" s="598"/>
      <c r="D123" s="598"/>
      <c r="E123" s="598"/>
      <c r="F123" s="598"/>
      <c r="G123" s="598"/>
      <c r="H123" s="598"/>
      <c r="I123" s="598"/>
      <c r="J123" s="598"/>
      <c r="K123" s="1368"/>
      <c r="L123" s="202"/>
      <c r="M123" s="203" t="s">
        <v>223</v>
      </c>
      <c r="N123" s="204">
        <f>SUM(N119:N122)</f>
        <v>1</v>
      </c>
      <c r="O123" s="213">
        <f>$O$13</f>
        <v>0</v>
      </c>
      <c r="P123" s="213">
        <f>O123*(1-K116)</f>
        <v>0</v>
      </c>
      <c r="Q123" s="233"/>
      <c r="R123" s="229"/>
      <c r="S123" s="214">
        <f>SUM(S119:S122)</f>
        <v>0</v>
      </c>
      <c r="T123" s="214">
        <f>SUM(T119:T122)</f>
        <v>0</v>
      </c>
      <c r="U123" s="214">
        <f>SUM(U119:U122)</f>
        <v>0</v>
      </c>
      <c r="V123" s="195"/>
      <c r="W123" s="196"/>
      <c r="X123" s="197"/>
      <c r="Y123" s="197"/>
      <c r="Z123" s="1374">
        <f>Z122+AA122</f>
        <v>0</v>
      </c>
      <c r="AA123" s="1375"/>
      <c r="AB123" s="215"/>
      <c r="AC123" s="215"/>
      <c r="AD123" s="195"/>
      <c r="AE123" s="195"/>
      <c r="AF123" s="195"/>
      <c r="AG123" s="1374">
        <f>AG122+AH122</f>
        <v>0</v>
      </c>
      <c r="AH123" s="1375"/>
      <c r="AI123" s="215"/>
    </row>
    <row r="124" spans="1:35" ht="12.75">
      <c r="A124" s="598"/>
      <c r="B124" s="598"/>
      <c r="C124" s="598"/>
      <c r="D124" s="598"/>
      <c r="E124" s="598"/>
      <c r="F124" s="598"/>
      <c r="G124" s="598"/>
      <c r="H124" s="598"/>
      <c r="I124" s="598"/>
      <c r="J124" s="598"/>
      <c r="K124" s="1369"/>
      <c r="L124" s="195"/>
      <c r="M124" s="196" t="s">
        <v>213</v>
      </c>
      <c r="N124" s="611"/>
      <c r="O124" s="197">
        <f>SUM(O119:O122)</f>
        <v>0</v>
      </c>
      <c r="P124" s="197">
        <f>SUM(P119:P122)</f>
        <v>0</v>
      </c>
      <c r="Q124" s="215"/>
      <c r="R124" s="215"/>
      <c r="S124" s="1374">
        <f>S123+T123</f>
        <v>0</v>
      </c>
      <c r="T124" s="1375"/>
      <c r="U124" s="243"/>
      <c r="V124" s="612"/>
      <c r="W124" s="598"/>
      <c r="X124" s="612"/>
      <c r="Y124" s="612"/>
      <c r="Z124" s="612"/>
      <c r="AA124" s="598"/>
      <c r="AB124" s="613">
        <f>IF(O123=0,0,Z122/O123)</f>
        <v>0</v>
      </c>
      <c r="AC124" s="613">
        <f>IF(O123=0,0,AA122/O123)</f>
        <v>0</v>
      </c>
      <c r="AD124" s="612"/>
      <c r="AE124" s="598"/>
      <c r="AF124" s="612"/>
      <c r="AG124" s="598"/>
      <c r="AH124" s="598"/>
      <c r="AI124" s="612"/>
    </row>
    <row r="125" spans="1:35" ht="12.75">
      <c r="A125" s="598"/>
      <c r="B125" s="598"/>
      <c r="C125" s="598"/>
      <c r="D125" s="598"/>
      <c r="E125" s="598"/>
      <c r="F125" s="598"/>
      <c r="G125" s="598"/>
      <c r="H125" s="598"/>
      <c r="I125" s="598"/>
      <c r="J125" s="598"/>
      <c r="K125" s="625"/>
      <c r="L125" s="24"/>
      <c r="M125" s="350"/>
      <c r="N125" s="128"/>
      <c r="O125" s="351"/>
      <c r="P125" s="351"/>
      <c r="Q125" s="24"/>
      <c r="R125" s="24"/>
      <c r="S125" s="352"/>
      <c r="T125" s="352"/>
      <c r="U125" s="24"/>
      <c r="V125" s="612"/>
      <c r="W125" s="598"/>
      <c r="X125" s="612"/>
      <c r="Y125" s="612"/>
      <c r="Z125" s="612"/>
      <c r="AA125" s="598"/>
      <c r="AB125" s="1365">
        <f>AB124+AC124</f>
        <v>0</v>
      </c>
      <c r="AC125" s="1366"/>
      <c r="AD125" s="612"/>
      <c r="AE125" s="598"/>
      <c r="AF125" s="612"/>
      <c r="AG125" s="598"/>
      <c r="AH125" s="598"/>
      <c r="AI125" s="612"/>
    </row>
    <row r="126" spans="1:35" ht="12.75">
      <c r="A126" s="598"/>
      <c r="B126" s="598"/>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603"/>
      <c r="AH126" s="603"/>
      <c r="AI126" s="598"/>
    </row>
    <row r="127" spans="1:35" ht="12.75">
      <c r="A127" s="598"/>
      <c r="B127" s="598"/>
      <c r="C127" s="598"/>
      <c r="D127" s="598"/>
      <c r="E127" s="598"/>
      <c r="F127" s="598"/>
      <c r="G127" s="598"/>
      <c r="H127" s="598"/>
      <c r="I127" s="598"/>
      <c r="J127" s="598"/>
      <c r="K127" s="1367">
        <v>0.9</v>
      </c>
      <c r="L127" s="235" t="s">
        <v>220</v>
      </c>
      <c r="M127" s="193"/>
      <c r="N127" s="193"/>
      <c r="O127" s="205" t="s">
        <v>125</v>
      </c>
      <c r="P127" s="206" t="s">
        <v>222</v>
      </c>
      <c r="Q127" s="230" t="s">
        <v>5</v>
      </c>
      <c r="R127" s="226" t="s">
        <v>232</v>
      </c>
      <c r="S127" s="212" t="s">
        <v>129</v>
      </c>
      <c r="T127" s="212" t="s">
        <v>129</v>
      </c>
      <c r="U127" s="212" t="s">
        <v>211</v>
      </c>
      <c r="V127" s="235" t="s">
        <v>229</v>
      </c>
      <c r="W127" s="193"/>
      <c r="X127" s="193"/>
      <c r="Y127" s="206" t="s">
        <v>212</v>
      </c>
      <c r="Z127" s="206" t="s">
        <v>212</v>
      </c>
      <c r="AA127" s="206" t="s">
        <v>212</v>
      </c>
      <c r="AB127" s="230" t="s">
        <v>231</v>
      </c>
      <c r="AC127" s="211" t="s">
        <v>233</v>
      </c>
      <c r="AD127" s="211" t="s">
        <v>233</v>
      </c>
      <c r="AE127" s="211" t="s">
        <v>5</v>
      </c>
      <c r="AF127" s="211" t="s">
        <v>5</v>
      </c>
      <c r="AG127" s="242" t="s">
        <v>129</v>
      </c>
      <c r="AH127" s="242" t="s">
        <v>129</v>
      </c>
      <c r="AI127" s="212" t="s">
        <v>211</v>
      </c>
    </row>
    <row r="128" spans="1:35" ht="12.75">
      <c r="A128" s="598"/>
      <c r="B128" s="598"/>
      <c r="C128" s="598"/>
      <c r="D128" s="598"/>
      <c r="E128" s="598"/>
      <c r="F128" s="598"/>
      <c r="G128" s="598"/>
      <c r="H128" s="598"/>
      <c r="I128" s="598"/>
      <c r="J128" s="598"/>
      <c r="K128" s="1368"/>
      <c r="L128" s="193"/>
      <c r="M128" s="193"/>
      <c r="N128" s="194"/>
      <c r="O128" s="205" t="s">
        <v>211</v>
      </c>
      <c r="P128" s="207" t="s">
        <v>221</v>
      </c>
      <c r="Q128" s="605" t="str">
        <f>$Q$7</f>
        <v>0-20Jahre</v>
      </c>
      <c r="R128" s="606" t="str">
        <f>$R$7</f>
        <v>21-20 Jahre</v>
      </c>
      <c r="S128" s="607">
        <f>$S$7</f>
        <v>1</v>
      </c>
      <c r="T128" s="607">
        <f>$T$7</f>
        <v>0</v>
      </c>
      <c r="U128" s="608" t="str">
        <f>$U$7</f>
        <v>0-20 Jahre</v>
      </c>
      <c r="V128" s="193"/>
      <c r="W128" s="193"/>
      <c r="X128" s="194"/>
      <c r="Y128" s="209" t="s">
        <v>211</v>
      </c>
      <c r="Z128" s="237">
        <f>$Z$7</f>
        <v>0.3</v>
      </c>
      <c r="AA128" s="238">
        <f>Z128</f>
        <v>0.3</v>
      </c>
      <c r="AB128" s="605" t="str">
        <f>"0-"&amp;G222&amp;"Jahre"</f>
        <v>0-Jahre</v>
      </c>
      <c r="AC128" s="609" t="str">
        <f>"bis "&amp;Z128*100&amp;"%"</f>
        <v>bis 30%</v>
      </c>
      <c r="AD128" s="609" t="str">
        <f>"über "&amp;AA128*100&amp;"%"</f>
        <v>über 30%</v>
      </c>
      <c r="AE128" s="609" t="str">
        <f>"bis "&amp;Z128*100&amp;"%"</f>
        <v>bis 30%</v>
      </c>
      <c r="AF128" s="609" t="str">
        <f>"über "&amp;AA128*100&amp;"%"</f>
        <v>über 30%</v>
      </c>
      <c r="AG128" s="1370">
        <f>$AG$7</f>
        <v>1</v>
      </c>
      <c r="AH128" s="1371"/>
      <c r="AI128" s="609" t="str">
        <f>$AI$7</f>
        <v>0-20 Jahre</v>
      </c>
    </row>
    <row r="129" spans="1:35" ht="12.75">
      <c r="A129" s="598"/>
      <c r="B129" s="598"/>
      <c r="C129" s="598"/>
      <c r="D129" s="598"/>
      <c r="E129" s="598"/>
      <c r="F129" s="598"/>
      <c r="G129" s="598"/>
      <c r="H129" s="598"/>
      <c r="I129" s="598"/>
      <c r="J129" s="598"/>
      <c r="K129" s="1368"/>
      <c r="L129" s="193" t="str">
        <f>$L$8</f>
        <v>Dachanlage</v>
      </c>
      <c r="M129" s="193"/>
      <c r="N129" s="194" t="s">
        <v>110</v>
      </c>
      <c r="O129" s="205" t="s">
        <v>126</v>
      </c>
      <c r="P129" s="205" t="s">
        <v>126</v>
      </c>
      <c r="Q129" s="231" t="s">
        <v>128</v>
      </c>
      <c r="R129" s="227" t="s">
        <v>128</v>
      </c>
      <c r="S129" s="201" t="s">
        <v>130</v>
      </c>
      <c r="T129" s="201" t="s">
        <v>130</v>
      </c>
      <c r="U129" s="201" t="s">
        <v>130</v>
      </c>
      <c r="V129" s="241"/>
      <c r="W129" s="193"/>
      <c r="X129" s="194" t="str">
        <f>N129</f>
        <v>Anteile</v>
      </c>
      <c r="Y129" s="210" t="s">
        <v>126</v>
      </c>
      <c r="Z129" s="210" t="s">
        <v>126</v>
      </c>
      <c r="AA129" s="210" t="s">
        <v>126</v>
      </c>
      <c r="AB129" s="231" t="s">
        <v>128</v>
      </c>
      <c r="AC129" s="231" t="s">
        <v>128</v>
      </c>
      <c r="AD129" s="231" t="s">
        <v>128</v>
      </c>
      <c r="AE129" s="231" t="s">
        <v>128</v>
      </c>
      <c r="AF129" s="231" t="s">
        <v>128</v>
      </c>
      <c r="AG129" s="201" t="s">
        <v>130</v>
      </c>
      <c r="AH129" s="201" t="s">
        <v>130</v>
      </c>
      <c r="AI129" s="201" t="s">
        <v>130</v>
      </c>
    </row>
    <row r="130" spans="1:35" ht="12.75">
      <c r="A130" s="598"/>
      <c r="B130" s="598"/>
      <c r="C130" s="598"/>
      <c r="D130" s="598"/>
      <c r="E130" s="598"/>
      <c r="F130" s="598"/>
      <c r="G130" s="598"/>
      <c r="H130" s="598"/>
      <c r="I130" s="598"/>
      <c r="J130" s="598"/>
      <c r="K130" s="1368"/>
      <c r="L130" s="1372">
        <f>$L$9</f>
        <v>10</v>
      </c>
      <c r="M130" s="1372"/>
      <c r="N130" s="198">
        <f>$N$9</f>
        <v>1</v>
      </c>
      <c r="O130" s="208">
        <f>$O$9</f>
        <v>0</v>
      </c>
      <c r="P130" s="208">
        <f>P134*N130</f>
        <v>0</v>
      </c>
      <c r="Q130" s="232">
        <f>$Q$9</f>
        <v>0.1275</v>
      </c>
      <c r="R130" s="228">
        <f>$R$9</f>
        <v>0.15</v>
      </c>
      <c r="S130" s="200">
        <f>P130*Q130*S128</f>
        <v>0</v>
      </c>
      <c r="T130" s="200">
        <f>P130*R130*T128</f>
        <v>0</v>
      </c>
      <c r="U130" s="200">
        <f>S130+T130</f>
        <v>0</v>
      </c>
      <c r="V130" s="246" t="s">
        <v>245</v>
      </c>
      <c r="W130" s="247">
        <f>L130</f>
        <v>10</v>
      </c>
      <c r="X130" s="198">
        <f>N130</f>
        <v>1</v>
      </c>
      <c r="Y130" s="208">
        <f>Y133*N130</f>
        <v>0</v>
      </c>
      <c r="Z130" s="208">
        <f>IF(O130=0,0,IF((Y130/O130)&gt;Z128,O130*Z128,Y130))</f>
        <v>0</v>
      </c>
      <c r="AA130" s="208">
        <f>IF(O130=0,0,IF((Y130/O130)&gt;Z128,Y130-(O130*Z128),0))</f>
        <v>0</v>
      </c>
      <c r="AB130" s="232">
        <f>$AB$9</f>
        <v>0.1275</v>
      </c>
      <c r="AC130" s="199">
        <f>$AC$9</f>
        <v>0</v>
      </c>
      <c r="AD130" s="199">
        <f>$AD$9</f>
        <v>0</v>
      </c>
      <c r="AE130" s="199">
        <f>IF($G$6&gt;$AB$4,0,IF($AB$5=3,0,AB130-AC130))</f>
        <v>0</v>
      </c>
      <c r="AF130" s="199">
        <f>IF($G$6&gt;$AB$4,0,IF($AB$5=3,0,AB130-AD130))</f>
        <v>0</v>
      </c>
      <c r="AG130" s="200">
        <f>Z130*AE130*AG128</f>
        <v>0</v>
      </c>
      <c r="AH130" s="200">
        <f>AA130*AF130*AG128</f>
        <v>0</v>
      </c>
      <c r="AI130" s="200">
        <f>AG130+AH130</f>
        <v>0</v>
      </c>
    </row>
    <row r="131" spans="1:35" ht="12.75">
      <c r="A131" s="598"/>
      <c r="B131" s="598"/>
      <c r="C131" s="598"/>
      <c r="D131" s="598"/>
      <c r="E131" s="598"/>
      <c r="F131" s="598"/>
      <c r="G131" s="598"/>
      <c r="H131" s="598"/>
      <c r="I131" s="598"/>
      <c r="J131" s="598"/>
      <c r="K131" s="1368"/>
      <c r="L131" s="1372">
        <f>$L$10</f>
        <v>40</v>
      </c>
      <c r="M131" s="1372"/>
      <c r="N131" s="198">
        <f>$N$10</f>
        <v>0</v>
      </c>
      <c r="O131" s="208">
        <f>$O$10</f>
        <v>0</v>
      </c>
      <c r="P131" s="208">
        <f>P134*N131</f>
        <v>0</v>
      </c>
      <c r="Q131" s="232">
        <f>$Q$10</f>
        <v>0.124</v>
      </c>
      <c r="R131" s="228">
        <f>$R$10</f>
        <v>0.15</v>
      </c>
      <c r="S131" s="200">
        <f>P131*Q131*S128</f>
        <v>0</v>
      </c>
      <c r="T131" s="200">
        <f>P131*R131*T128</f>
        <v>0</v>
      </c>
      <c r="U131" s="200">
        <f>S131+T131</f>
        <v>0</v>
      </c>
      <c r="V131" s="246" t="s">
        <v>245</v>
      </c>
      <c r="W131" s="247">
        <f>L131</f>
        <v>40</v>
      </c>
      <c r="X131" s="198">
        <f>N131</f>
        <v>0</v>
      </c>
      <c r="Y131" s="208">
        <f>Y133*N131</f>
        <v>0</v>
      </c>
      <c r="Z131" s="208">
        <f>IF(O131=0,0,IF((Y131/O131)&gt;Z128,O131*Z128,Y131))</f>
        <v>0</v>
      </c>
      <c r="AA131" s="208">
        <f>IF(O131=0,0,IF((Y131/O131)&gt;Z128,Y131-(O131*Z128),0))</f>
        <v>0</v>
      </c>
      <c r="AB131" s="232">
        <f>$AB$10</f>
        <v>0.124</v>
      </c>
      <c r="AC131" s="199">
        <f>$AC$10</f>
        <v>0</v>
      </c>
      <c r="AD131" s="199">
        <f>$AD$10</f>
        <v>0</v>
      </c>
      <c r="AE131" s="199">
        <f>IF($G$6&gt;$AB$4,0,IF($AB$5=3,0,AB131-AC131))</f>
        <v>0</v>
      </c>
      <c r="AF131" s="199">
        <f>IF($G$6&gt;$AB$4,0,IF($AB$5=3,0,AB131-AD131))</f>
        <v>0</v>
      </c>
      <c r="AG131" s="200">
        <f>Z131*AE131*AG128</f>
        <v>0</v>
      </c>
      <c r="AH131" s="200">
        <f>AA131*AF131*AG128</f>
        <v>0</v>
      </c>
      <c r="AI131" s="200">
        <f>AG131+AH131</f>
        <v>0</v>
      </c>
    </row>
    <row r="132" spans="1:35" ht="12.75">
      <c r="A132" s="598"/>
      <c r="B132" s="598"/>
      <c r="C132" s="598"/>
      <c r="D132" s="598"/>
      <c r="E132" s="598"/>
      <c r="F132" s="598"/>
      <c r="G132" s="598"/>
      <c r="H132" s="598"/>
      <c r="I132" s="598"/>
      <c r="J132" s="598"/>
      <c r="K132" s="1368"/>
      <c r="L132" s="1372">
        <f>$L$11</f>
        <v>1000</v>
      </c>
      <c r="M132" s="1372"/>
      <c r="N132" s="198">
        <f>$N$11</f>
        <v>0</v>
      </c>
      <c r="O132" s="208">
        <f>$O$11</f>
        <v>0</v>
      </c>
      <c r="P132" s="208">
        <f>P134*N132</f>
        <v>0</v>
      </c>
      <c r="Q132" s="232">
        <f>$Q$11</f>
        <v>0.1109</v>
      </c>
      <c r="R132" s="228">
        <f>$R$11</f>
        <v>0.15</v>
      </c>
      <c r="S132" s="200">
        <f>P132*Q132*S128</f>
        <v>0</v>
      </c>
      <c r="T132" s="200">
        <f>P132*R132*T128</f>
        <v>0</v>
      </c>
      <c r="U132" s="200">
        <f>S132+T132</f>
        <v>0</v>
      </c>
      <c r="V132" s="246" t="s">
        <v>245</v>
      </c>
      <c r="W132" s="248">
        <v>500</v>
      </c>
      <c r="X132" s="198">
        <f>N132</f>
        <v>0</v>
      </c>
      <c r="Y132" s="208">
        <f>Y133*N132</f>
        <v>0</v>
      </c>
      <c r="Z132" s="208">
        <f>IF(O132=0,0,IF((Y132/O132)&gt;Z128,O132*Z128,Y132))</f>
        <v>0</v>
      </c>
      <c r="AA132" s="208">
        <f>IF(O132=0,0,IF((Y132/O132)&gt;Z128,Y132-(O132*Z128),0))</f>
        <v>0</v>
      </c>
      <c r="AB132" s="232">
        <f>$AB$11</f>
        <v>0.1109</v>
      </c>
      <c r="AC132" s="199">
        <f>$AC$11</f>
        <v>0</v>
      </c>
      <c r="AD132" s="199">
        <f>$AD$11</f>
        <v>0</v>
      </c>
      <c r="AE132" s="199">
        <f>IF($G$6&gt;$AB$4,0,IF($AB$5=3,0,AB132-AC132))</f>
        <v>0</v>
      </c>
      <c r="AF132" s="199">
        <f>IF($G$6&gt;$AB$4,0,IF($AB$5=3,0,AB132-AD132))</f>
        <v>0</v>
      </c>
      <c r="AG132" s="200">
        <f>Z132*AE132*AG128</f>
        <v>0</v>
      </c>
      <c r="AH132" s="200">
        <f>AA132*AF132*AG128</f>
        <v>0</v>
      </c>
      <c r="AI132" s="200">
        <f>AG132+AH132</f>
        <v>0</v>
      </c>
    </row>
    <row r="133" spans="1:35" ht="12.75">
      <c r="A133" s="598"/>
      <c r="B133" s="598"/>
      <c r="C133" s="598"/>
      <c r="D133" s="598"/>
      <c r="E133" s="598"/>
      <c r="F133" s="598"/>
      <c r="G133" s="598"/>
      <c r="H133" s="598"/>
      <c r="I133" s="598"/>
      <c r="J133" s="598"/>
      <c r="K133" s="1368"/>
      <c r="L133" s="1373">
        <f>$L$12</f>
        <v>1000</v>
      </c>
      <c r="M133" s="1373"/>
      <c r="N133" s="198">
        <f>$N$12</f>
        <v>0</v>
      </c>
      <c r="O133" s="208">
        <f>$O$12</f>
        <v>0</v>
      </c>
      <c r="P133" s="208">
        <f>P134*N133</f>
        <v>0</v>
      </c>
      <c r="Q133" s="232">
        <f>$Q$12</f>
        <v>0</v>
      </c>
      <c r="R133" s="228">
        <f>$R$12</f>
        <v>0.15</v>
      </c>
      <c r="S133" s="200">
        <f>P133*Q133*S128</f>
        <v>0</v>
      </c>
      <c r="T133" s="200">
        <f>P133*R133*T128</f>
        <v>0</v>
      </c>
      <c r="U133" s="200">
        <f>S133+T133</f>
        <v>0</v>
      </c>
      <c r="V133" s="202"/>
      <c r="W133" s="203" t="str">
        <f>M134</f>
        <v> gesamt</v>
      </c>
      <c r="X133" s="204">
        <f>N134</f>
        <v>1</v>
      </c>
      <c r="Y133" s="213">
        <f>O134-P134</f>
        <v>0</v>
      </c>
      <c r="Z133" s="213">
        <f>SUM(Z130:Z132)</f>
        <v>0</v>
      </c>
      <c r="AA133" s="213">
        <f>SUM(AA130:AA132)</f>
        <v>0</v>
      </c>
      <c r="AB133" s="233"/>
      <c r="AC133" s="234"/>
      <c r="AD133" s="214"/>
      <c r="AE133" s="214"/>
      <c r="AF133" s="214"/>
      <c r="AG133" s="214">
        <f>SUM(AG130:AG132)</f>
        <v>0</v>
      </c>
      <c r="AH133" s="214">
        <f>SUM(AH130:AH132)</f>
        <v>0</v>
      </c>
      <c r="AI133" s="234">
        <f>SUM(AI130:AI132)</f>
        <v>0</v>
      </c>
    </row>
    <row r="134" spans="1:35" ht="12.75">
      <c r="A134" s="598"/>
      <c r="B134" s="598"/>
      <c r="C134" s="598"/>
      <c r="D134" s="598"/>
      <c r="E134" s="598"/>
      <c r="F134" s="598"/>
      <c r="G134" s="598"/>
      <c r="H134" s="598"/>
      <c r="I134" s="598"/>
      <c r="J134" s="598"/>
      <c r="K134" s="1368"/>
      <c r="L134" s="202"/>
      <c r="M134" s="203" t="s">
        <v>223</v>
      </c>
      <c r="N134" s="204">
        <f>SUM(N130:N133)</f>
        <v>1</v>
      </c>
      <c r="O134" s="213">
        <f>$O$13</f>
        <v>0</v>
      </c>
      <c r="P134" s="213">
        <f>O134*(1-K127)</f>
        <v>0</v>
      </c>
      <c r="Q134" s="233"/>
      <c r="R134" s="229"/>
      <c r="S134" s="214">
        <f>SUM(S130:S133)</f>
        <v>0</v>
      </c>
      <c r="T134" s="214">
        <f>SUM(T130:T133)</f>
        <v>0</v>
      </c>
      <c r="U134" s="214">
        <f>SUM(U130:U133)</f>
        <v>0</v>
      </c>
      <c r="V134" s="195"/>
      <c r="W134" s="196"/>
      <c r="X134" s="197"/>
      <c r="Y134" s="197"/>
      <c r="Z134" s="1374">
        <f>Z133+AA133</f>
        <v>0</v>
      </c>
      <c r="AA134" s="1375"/>
      <c r="AB134" s="215"/>
      <c r="AC134" s="215"/>
      <c r="AD134" s="195"/>
      <c r="AE134" s="195"/>
      <c r="AF134" s="195"/>
      <c r="AG134" s="1374">
        <f>AG133+AH133</f>
        <v>0</v>
      </c>
      <c r="AH134" s="1375"/>
      <c r="AI134" s="215"/>
    </row>
    <row r="135" spans="1:35" ht="12.75">
      <c r="A135" s="598"/>
      <c r="B135" s="598"/>
      <c r="C135" s="598"/>
      <c r="D135" s="598"/>
      <c r="E135" s="598"/>
      <c r="F135" s="598"/>
      <c r="G135" s="598"/>
      <c r="H135" s="598"/>
      <c r="I135" s="598"/>
      <c r="J135" s="598"/>
      <c r="K135" s="1369"/>
      <c r="L135" s="195"/>
      <c r="M135" s="196" t="s">
        <v>213</v>
      </c>
      <c r="N135" s="611"/>
      <c r="O135" s="197">
        <f>SUM(O130:O133)</f>
        <v>0</v>
      </c>
      <c r="P135" s="197">
        <f>SUM(P130:P133)</f>
        <v>0</v>
      </c>
      <c r="Q135" s="215"/>
      <c r="R135" s="215"/>
      <c r="S135" s="1374">
        <f>S134+T134</f>
        <v>0</v>
      </c>
      <c r="T135" s="1375"/>
      <c r="U135" s="243"/>
      <c r="V135" s="612"/>
      <c r="W135" s="598"/>
      <c r="X135" s="612"/>
      <c r="Y135" s="612"/>
      <c r="Z135" s="612"/>
      <c r="AA135" s="598"/>
      <c r="AB135" s="613">
        <f>IF(O134=0,0,Z133/O134)</f>
        <v>0</v>
      </c>
      <c r="AC135" s="613">
        <f>IF(O134=0,0,AA133/O134)</f>
        <v>0</v>
      </c>
      <c r="AD135" s="612"/>
      <c r="AE135" s="598"/>
      <c r="AF135" s="612"/>
      <c r="AG135" s="598"/>
      <c r="AH135" s="598"/>
      <c r="AI135" s="612"/>
    </row>
    <row r="136" spans="1:35" ht="12.75">
      <c r="A136" s="598"/>
      <c r="B136" s="598"/>
      <c r="C136" s="598"/>
      <c r="D136" s="598"/>
      <c r="E136" s="598"/>
      <c r="F136" s="598"/>
      <c r="G136" s="598"/>
      <c r="H136" s="598"/>
      <c r="I136" s="598"/>
      <c r="J136" s="598"/>
      <c r="K136" s="625"/>
      <c r="L136" s="24"/>
      <c r="M136" s="350"/>
      <c r="N136" s="128"/>
      <c r="O136" s="351"/>
      <c r="P136" s="351"/>
      <c r="Q136" s="24"/>
      <c r="R136" s="24"/>
      <c r="S136" s="352"/>
      <c r="T136" s="352"/>
      <c r="U136" s="24"/>
      <c r="V136" s="612"/>
      <c r="W136" s="598"/>
      <c r="X136" s="612"/>
      <c r="Y136" s="612"/>
      <c r="Z136" s="612"/>
      <c r="AA136" s="598"/>
      <c r="AB136" s="1365">
        <f>AB135+AC135</f>
        <v>0</v>
      </c>
      <c r="AC136" s="1366"/>
      <c r="AD136" s="612"/>
      <c r="AE136" s="598"/>
      <c r="AF136" s="612"/>
      <c r="AG136" s="598"/>
      <c r="AH136" s="598"/>
      <c r="AI136" s="612"/>
    </row>
    <row r="137" spans="1:35" ht="12.75">
      <c r="A137" s="598"/>
      <c r="B137" s="598"/>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603"/>
      <c r="AH137" s="603"/>
      <c r="AI137" s="598"/>
    </row>
    <row r="138" spans="1:35" ht="12.75">
      <c r="A138" s="598"/>
      <c r="B138" s="598"/>
      <c r="C138" s="598"/>
      <c r="D138" s="598"/>
      <c r="E138" s="598"/>
      <c r="F138" s="598"/>
      <c r="G138" s="598"/>
      <c r="H138" s="598"/>
      <c r="I138" s="598"/>
      <c r="J138" s="598"/>
      <c r="K138" s="1367">
        <v>1</v>
      </c>
      <c r="L138" s="235" t="s">
        <v>220</v>
      </c>
      <c r="M138" s="193"/>
      <c r="N138" s="193"/>
      <c r="O138" s="205" t="s">
        <v>125</v>
      </c>
      <c r="P138" s="206" t="s">
        <v>222</v>
      </c>
      <c r="Q138" s="230" t="s">
        <v>5</v>
      </c>
      <c r="R138" s="226" t="s">
        <v>232</v>
      </c>
      <c r="S138" s="212" t="s">
        <v>129</v>
      </c>
      <c r="T138" s="212" t="s">
        <v>129</v>
      </c>
      <c r="U138" s="212" t="s">
        <v>211</v>
      </c>
      <c r="V138" s="235" t="s">
        <v>229</v>
      </c>
      <c r="W138" s="193"/>
      <c r="X138" s="193"/>
      <c r="Y138" s="206" t="s">
        <v>212</v>
      </c>
      <c r="Z138" s="206" t="s">
        <v>212</v>
      </c>
      <c r="AA138" s="206" t="s">
        <v>212</v>
      </c>
      <c r="AB138" s="230" t="s">
        <v>231</v>
      </c>
      <c r="AC138" s="211" t="s">
        <v>233</v>
      </c>
      <c r="AD138" s="211" t="s">
        <v>233</v>
      </c>
      <c r="AE138" s="211" t="s">
        <v>5</v>
      </c>
      <c r="AF138" s="211" t="s">
        <v>5</v>
      </c>
      <c r="AG138" s="242" t="s">
        <v>129</v>
      </c>
      <c r="AH138" s="242" t="s">
        <v>129</v>
      </c>
      <c r="AI138" s="212" t="s">
        <v>211</v>
      </c>
    </row>
    <row r="139" spans="1:35" ht="12.75">
      <c r="A139" s="598"/>
      <c r="B139" s="598"/>
      <c r="C139" s="598"/>
      <c r="D139" s="598"/>
      <c r="E139" s="598"/>
      <c r="F139" s="598"/>
      <c r="G139" s="598"/>
      <c r="H139" s="598"/>
      <c r="I139" s="598"/>
      <c r="J139" s="598"/>
      <c r="K139" s="1368"/>
      <c r="L139" s="193"/>
      <c r="M139" s="193"/>
      <c r="N139" s="194"/>
      <c r="O139" s="205" t="s">
        <v>211</v>
      </c>
      <c r="P139" s="207" t="s">
        <v>221</v>
      </c>
      <c r="Q139" s="605" t="str">
        <f>$Q$7</f>
        <v>0-20Jahre</v>
      </c>
      <c r="R139" s="606" t="str">
        <f>$R$7</f>
        <v>21-20 Jahre</v>
      </c>
      <c r="S139" s="607">
        <f>$S$7</f>
        <v>1</v>
      </c>
      <c r="T139" s="607">
        <f>$T$7</f>
        <v>0</v>
      </c>
      <c r="U139" s="608" t="str">
        <f>$U$7</f>
        <v>0-20 Jahre</v>
      </c>
      <c r="V139" s="193"/>
      <c r="W139" s="193"/>
      <c r="X139" s="194"/>
      <c r="Y139" s="209" t="s">
        <v>211</v>
      </c>
      <c r="Z139" s="237">
        <f>$Z$7</f>
        <v>0.3</v>
      </c>
      <c r="AA139" s="238">
        <f>Z139</f>
        <v>0.3</v>
      </c>
      <c r="AB139" s="605" t="str">
        <f>"0-"&amp;G233&amp;"Jahre"</f>
        <v>0-Jahre</v>
      </c>
      <c r="AC139" s="609" t="str">
        <f>"bis "&amp;Z139*100&amp;"%"</f>
        <v>bis 30%</v>
      </c>
      <c r="AD139" s="609" t="str">
        <f>"über "&amp;AA139*100&amp;"%"</f>
        <v>über 30%</v>
      </c>
      <c r="AE139" s="609" t="str">
        <f>"bis "&amp;Z139*100&amp;"%"</f>
        <v>bis 30%</v>
      </c>
      <c r="AF139" s="609" t="str">
        <f>"über "&amp;AA139*100&amp;"%"</f>
        <v>über 30%</v>
      </c>
      <c r="AG139" s="1370">
        <f>$AG$7</f>
        <v>1</v>
      </c>
      <c r="AH139" s="1371"/>
      <c r="AI139" s="609" t="str">
        <f>$AI$7</f>
        <v>0-20 Jahre</v>
      </c>
    </row>
    <row r="140" spans="1:35" ht="12.75">
      <c r="A140" s="598"/>
      <c r="B140" s="598"/>
      <c r="C140" s="598"/>
      <c r="D140" s="598"/>
      <c r="E140" s="598"/>
      <c r="F140" s="598"/>
      <c r="G140" s="598"/>
      <c r="H140" s="598"/>
      <c r="I140" s="598"/>
      <c r="J140" s="598"/>
      <c r="K140" s="1368"/>
      <c r="L140" s="193" t="str">
        <f>$L$8</f>
        <v>Dachanlage</v>
      </c>
      <c r="M140" s="193"/>
      <c r="N140" s="194" t="s">
        <v>110</v>
      </c>
      <c r="O140" s="205" t="s">
        <v>126</v>
      </c>
      <c r="P140" s="205" t="s">
        <v>126</v>
      </c>
      <c r="Q140" s="231" t="s">
        <v>128</v>
      </c>
      <c r="R140" s="227" t="s">
        <v>128</v>
      </c>
      <c r="S140" s="201" t="s">
        <v>130</v>
      </c>
      <c r="T140" s="201" t="s">
        <v>130</v>
      </c>
      <c r="U140" s="201" t="s">
        <v>130</v>
      </c>
      <c r="V140" s="241"/>
      <c r="W140" s="193"/>
      <c r="X140" s="194" t="str">
        <f>N140</f>
        <v>Anteile</v>
      </c>
      <c r="Y140" s="210" t="s">
        <v>126</v>
      </c>
      <c r="Z140" s="210" t="s">
        <v>126</v>
      </c>
      <c r="AA140" s="210" t="s">
        <v>126</v>
      </c>
      <c r="AB140" s="231" t="s">
        <v>128</v>
      </c>
      <c r="AC140" s="231" t="s">
        <v>128</v>
      </c>
      <c r="AD140" s="231" t="s">
        <v>128</v>
      </c>
      <c r="AE140" s="231" t="s">
        <v>128</v>
      </c>
      <c r="AF140" s="231" t="s">
        <v>128</v>
      </c>
      <c r="AG140" s="201" t="s">
        <v>130</v>
      </c>
      <c r="AH140" s="201" t="s">
        <v>130</v>
      </c>
      <c r="AI140" s="201" t="s">
        <v>130</v>
      </c>
    </row>
    <row r="141" spans="1:35" ht="12.75">
      <c r="A141" s="598"/>
      <c r="B141" s="598"/>
      <c r="C141" s="598"/>
      <c r="D141" s="598"/>
      <c r="E141" s="598"/>
      <c r="F141" s="598"/>
      <c r="G141" s="598"/>
      <c r="H141" s="598"/>
      <c r="I141" s="598"/>
      <c r="J141" s="598"/>
      <c r="K141" s="1368"/>
      <c r="L141" s="1372">
        <f>$L$9</f>
        <v>10</v>
      </c>
      <c r="M141" s="1372"/>
      <c r="N141" s="198">
        <f>$N$9</f>
        <v>1</v>
      </c>
      <c r="O141" s="208">
        <f>$O$9</f>
        <v>0</v>
      </c>
      <c r="P141" s="208">
        <f>P145*N141</f>
        <v>0</v>
      </c>
      <c r="Q141" s="232">
        <f>$Q$9</f>
        <v>0.1275</v>
      </c>
      <c r="R141" s="228">
        <f>$R$9</f>
        <v>0.15</v>
      </c>
      <c r="S141" s="200">
        <f>P141*Q141*S139</f>
        <v>0</v>
      </c>
      <c r="T141" s="200">
        <f>P141*R141*T139</f>
        <v>0</v>
      </c>
      <c r="U141" s="200">
        <f>S141+T141</f>
        <v>0</v>
      </c>
      <c r="V141" s="246" t="s">
        <v>245</v>
      </c>
      <c r="W141" s="247">
        <f>L141</f>
        <v>10</v>
      </c>
      <c r="X141" s="198">
        <f>N141</f>
        <v>1</v>
      </c>
      <c r="Y141" s="208">
        <f>Y144*N141</f>
        <v>0</v>
      </c>
      <c r="Z141" s="208">
        <f>IF(O141=0,0,IF((Y141/O141)&gt;Z139,O141*Z139,Y141))</f>
        <v>0</v>
      </c>
      <c r="AA141" s="208">
        <f>IF(O141=0,0,IF((Y141/O141)&gt;Z139,Y141-(O141*Z139),0))</f>
        <v>0</v>
      </c>
      <c r="AB141" s="232">
        <f>$AB$9</f>
        <v>0.1275</v>
      </c>
      <c r="AC141" s="199">
        <f>$AC$9</f>
        <v>0</v>
      </c>
      <c r="AD141" s="199">
        <f>$AD$9</f>
        <v>0</v>
      </c>
      <c r="AE141" s="199">
        <f>IF($G$6&gt;$AB$4,0,IF($AB$5=3,0,AB141-AC141))</f>
        <v>0</v>
      </c>
      <c r="AF141" s="199">
        <f>IF($G$6&gt;$AB$4,0,IF($AB$5=3,0,AB141-AD141))</f>
        <v>0</v>
      </c>
      <c r="AG141" s="200">
        <f>Z141*AE141*AG139</f>
        <v>0</v>
      </c>
      <c r="AH141" s="200">
        <f>AA141*AF141*AG139</f>
        <v>0</v>
      </c>
      <c r="AI141" s="200">
        <f>AG141+AH141</f>
        <v>0</v>
      </c>
    </row>
    <row r="142" spans="1:35" ht="12.75">
      <c r="A142" s="598"/>
      <c r="B142" s="598"/>
      <c r="C142" s="598"/>
      <c r="D142" s="598"/>
      <c r="E142" s="598"/>
      <c r="F142" s="598"/>
      <c r="G142" s="598"/>
      <c r="H142" s="598"/>
      <c r="I142" s="598"/>
      <c r="J142" s="598"/>
      <c r="K142" s="1368"/>
      <c r="L142" s="1372">
        <f>$L$10</f>
        <v>40</v>
      </c>
      <c r="M142" s="1372"/>
      <c r="N142" s="198">
        <f>$N$10</f>
        <v>0</v>
      </c>
      <c r="O142" s="208">
        <f>$O$10</f>
        <v>0</v>
      </c>
      <c r="P142" s="208">
        <f>P145*N142</f>
        <v>0</v>
      </c>
      <c r="Q142" s="232">
        <f>$Q$10</f>
        <v>0.124</v>
      </c>
      <c r="R142" s="228">
        <f>$R$10</f>
        <v>0.15</v>
      </c>
      <c r="S142" s="200">
        <f>P142*Q142*S139</f>
        <v>0</v>
      </c>
      <c r="T142" s="200">
        <f>P142*R142*T139</f>
        <v>0</v>
      </c>
      <c r="U142" s="200">
        <f>S142+T142</f>
        <v>0</v>
      </c>
      <c r="V142" s="246" t="s">
        <v>245</v>
      </c>
      <c r="W142" s="247">
        <f>L142</f>
        <v>40</v>
      </c>
      <c r="X142" s="198">
        <f>N142</f>
        <v>0</v>
      </c>
      <c r="Y142" s="208">
        <f>Y144*N142</f>
        <v>0</v>
      </c>
      <c r="Z142" s="208">
        <f>IF(O142=0,0,IF((Y142/O142)&gt;Z139,O142*Z139,Y142))</f>
        <v>0</v>
      </c>
      <c r="AA142" s="208">
        <f>IF(O142=0,0,IF((Y142/O142)&gt;Z139,Y142-(O142*Z139),0))</f>
        <v>0</v>
      </c>
      <c r="AB142" s="232">
        <f>$AB$10</f>
        <v>0.124</v>
      </c>
      <c r="AC142" s="199">
        <f>$AC$10</f>
        <v>0</v>
      </c>
      <c r="AD142" s="199">
        <f>$AD$10</f>
        <v>0</v>
      </c>
      <c r="AE142" s="199">
        <f>IF($G$6&gt;$AB$4,0,IF($AB$5=3,0,AB142-AC142))</f>
        <v>0</v>
      </c>
      <c r="AF142" s="199">
        <f>IF($G$6&gt;$AB$4,0,IF($AB$5=3,0,AB142-AD142))</f>
        <v>0</v>
      </c>
      <c r="AG142" s="200">
        <f>Z142*AE142*AG139</f>
        <v>0</v>
      </c>
      <c r="AH142" s="200">
        <f>AA142*AF142*AG139</f>
        <v>0</v>
      </c>
      <c r="AI142" s="200">
        <f>AG142+AH142</f>
        <v>0</v>
      </c>
    </row>
    <row r="143" spans="1:35" ht="12.75">
      <c r="A143" s="598"/>
      <c r="B143" s="598"/>
      <c r="C143" s="598"/>
      <c r="D143" s="598"/>
      <c r="E143" s="598"/>
      <c r="F143" s="598"/>
      <c r="G143" s="598"/>
      <c r="H143" s="598"/>
      <c r="I143" s="598"/>
      <c r="J143" s="598"/>
      <c r="K143" s="1368"/>
      <c r="L143" s="1372">
        <f>$L$11</f>
        <v>1000</v>
      </c>
      <c r="M143" s="1372"/>
      <c r="N143" s="198">
        <f>$N$11</f>
        <v>0</v>
      </c>
      <c r="O143" s="208">
        <f>$O$11</f>
        <v>0</v>
      </c>
      <c r="P143" s="208">
        <f>P145*N143</f>
        <v>0</v>
      </c>
      <c r="Q143" s="232">
        <f>$Q$11</f>
        <v>0.1109</v>
      </c>
      <c r="R143" s="228">
        <f>$R$11</f>
        <v>0.15</v>
      </c>
      <c r="S143" s="200">
        <f>P143*Q143*S139</f>
        <v>0</v>
      </c>
      <c r="T143" s="200">
        <f>P143*R143*T139</f>
        <v>0</v>
      </c>
      <c r="U143" s="200">
        <f>S143+T143</f>
        <v>0</v>
      </c>
      <c r="V143" s="246" t="s">
        <v>245</v>
      </c>
      <c r="W143" s="248">
        <v>500</v>
      </c>
      <c r="X143" s="198">
        <f>N143</f>
        <v>0</v>
      </c>
      <c r="Y143" s="208">
        <f>Y144*N143</f>
        <v>0</v>
      </c>
      <c r="Z143" s="208">
        <f>IF(O143=0,0,IF((Y143/O143)&gt;Z139,O143*Z139,Y143))</f>
        <v>0</v>
      </c>
      <c r="AA143" s="208">
        <f>IF(O143=0,0,IF((Y143/O143)&gt;Z139,Y143-(O143*Z139),0))</f>
        <v>0</v>
      </c>
      <c r="AB143" s="232">
        <f>$AB$11</f>
        <v>0.1109</v>
      </c>
      <c r="AC143" s="199">
        <f>$AC$11</f>
        <v>0</v>
      </c>
      <c r="AD143" s="199">
        <f>$AD$11</f>
        <v>0</v>
      </c>
      <c r="AE143" s="199">
        <f>IF($G$6&gt;$AB$4,0,IF($AB$5=3,0,AB143-AC143))</f>
        <v>0</v>
      </c>
      <c r="AF143" s="199">
        <f>IF($G$6&gt;$AB$4,0,IF($AB$5=3,0,AB143-AD143))</f>
        <v>0</v>
      </c>
      <c r="AG143" s="200">
        <f>Z143*AE143*AG139</f>
        <v>0</v>
      </c>
      <c r="AH143" s="200">
        <f>AA143*AF143*AG139</f>
        <v>0</v>
      </c>
      <c r="AI143" s="200">
        <f>AG143+AH143</f>
        <v>0</v>
      </c>
    </row>
    <row r="144" spans="1:35" ht="12.75">
      <c r="A144" s="598"/>
      <c r="B144" s="598"/>
      <c r="C144" s="598"/>
      <c r="D144" s="598"/>
      <c r="E144" s="598"/>
      <c r="F144" s="598"/>
      <c r="G144" s="598"/>
      <c r="H144" s="598"/>
      <c r="I144" s="598"/>
      <c r="J144" s="598"/>
      <c r="K144" s="1368"/>
      <c r="L144" s="1373">
        <f>$L$12</f>
        <v>1000</v>
      </c>
      <c r="M144" s="1373"/>
      <c r="N144" s="198">
        <f>$N$12</f>
        <v>0</v>
      </c>
      <c r="O144" s="208">
        <f>$O$12</f>
        <v>0</v>
      </c>
      <c r="P144" s="208">
        <f>P145*N144</f>
        <v>0</v>
      </c>
      <c r="Q144" s="232">
        <f>$Q$12</f>
        <v>0</v>
      </c>
      <c r="R144" s="228">
        <f>$R$12</f>
        <v>0.15</v>
      </c>
      <c r="S144" s="200">
        <f>P144*Q144*S139</f>
        <v>0</v>
      </c>
      <c r="T144" s="200">
        <f>P144*R144*T139</f>
        <v>0</v>
      </c>
      <c r="U144" s="200">
        <f>S144+T144</f>
        <v>0</v>
      </c>
      <c r="V144" s="202"/>
      <c r="W144" s="203" t="str">
        <f>M145</f>
        <v> gesamt</v>
      </c>
      <c r="X144" s="204">
        <f>N145</f>
        <v>1</v>
      </c>
      <c r="Y144" s="213">
        <f>O145-P145</f>
        <v>0</v>
      </c>
      <c r="Z144" s="213">
        <f>SUM(Z141:Z143)</f>
        <v>0</v>
      </c>
      <c r="AA144" s="213">
        <f>SUM(AA141:AA143)</f>
        <v>0</v>
      </c>
      <c r="AB144" s="233"/>
      <c r="AC144" s="234"/>
      <c r="AD144" s="214"/>
      <c r="AE144" s="214"/>
      <c r="AF144" s="214"/>
      <c r="AG144" s="214">
        <f>SUM(AG141:AG143)</f>
        <v>0</v>
      </c>
      <c r="AH144" s="214">
        <f>SUM(AH141:AH143)</f>
        <v>0</v>
      </c>
      <c r="AI144" s="234">
        <f>SUM(AI141:AI143)</f>
        <v>0</v>
      </c>
    </row>
    <row r="145" spans="1:35" ht="12.75">
      <c r="A145" s="598"/>
      <c r="B145" s="598"/>
      <c r="C145" s="598"/>
      <c r="D145" s="598"/>
      <c r="E145" s="598"/>
      <c r="F145" s="598"/>
      <c r="G145" s="598"/>
      <c r="H145" s="598"/>
      <c r="I145" s="598"/>
      <c r="J145" s="598"/>
      <c r="K145" s="1368"/>
      <c r="L145" s="202"/>
      <c r="M145" s="203" t="s">
        <v>223</v>
      </c>
      <c r="N145" s="204">
        <f>SUM(N141:N144)</f>
        <v>1</v>
      </c>
      <c r="O145" s="213">
        <f>$O$13</f>
        <v>0</v>
      </c>
      <c r="P145" s="213">
        <f>O145*(1-K138)</f>
        <v>0</v>
      </c>
      <c r="Q145" s="233"/>
      <c r="R145" s="229"/>
      <c r="S145" s="214">
        <f>SUM(S141:S144)</f>
        <v>0</v>
      </c>
      <c r="T145" s="214">
        <f>SUM(T141:T144)</f>
        <v>0</v>
      </c>
      <c r="U145" s="214">
        <f>SUM(U141:U144)</f>
        <v>0</v>
      </c>
      <c r="V145" s="195"/>
      <c r="W145" s="196"/>
      <c r="X145" s="197"/>
      <c r="Y145" s="197"/>
      <c r="Z145" s="1374">
        <f>Z144+AA144</f>
        <v>0</v>
      </c>
      <c r="AA145" s="1375"/>
      <c r="AB145" s="215"/>
      <c r="AC145" s="215"/>
      <c r="AD145" s="195"/>
      <c r="AE145" s="195"/>
      <c r="AF145" s="195"/>
      <c r="AG145" s="1374">
        <f>AG144+AH144</f>
        <v>0</v>
      </c>
      <c r="AH145" s="1375"/>
      <c r="AI145" s="215"/>
    </row>
    <row r="146" spans="1:35" ht="12.75">
      <c r="A146" s="598"/>
      <c r="B146" s="598"/>
      <c r="C146" s="598"/>
      <c r="D146" s="598"/>
      <c r="E146" s="598"/>
      <c r="F146" s="598"/>
      <c r="G146" s="598"/>
      <c r="H146" s="598"/>
      <c r="I146" s="598"/>
      <c r="J146" s="598"/>
      <c r="K146" s="1369"/>
      <c r="L146" s="195"/>
      <c r="M146" s="196" t="s">
        <v>213</v>
      </c>
      <c r="N146" s="611"/>
      <c r="O146" s="197">
        <f>SUM(O141:O144)</f>
        <v>0</v>
      </c>
      <c r="P146" s="197">
        <f>SUM(P141:P144)</f>
        <v>0</v>
      </c>
      <c r="Q146" s="215"/>
      <c r="R146" s="215"/>
      <c r="S146" s="1374">
        <f>S145+T145</f>
        <v>0</v>
      </c>
      <c r="T146" s="1375"/>
      <c r="U146" s="243"/>
      <c r="V146" s="612"/>
      <c r="W146" s="598"/>
      <c r="X146" s="612"/>
      <c r="Y146" s="612"/>
      <c r="Z146" s="612"/>
      <c r="AA146" s="598"/>
      <c r="AB146" s="613">
        <f>IF(O145=0,0,Z144/O145)</f>
        <v>0</v>
      </c>
      <c r="AC146" s="613">
        <f>IF(O145=0,0,AA144/O145)</f>
        <v>0</v>
      </c>
      <c r="AD146" s="612"/>
      <c r="AE146" s="598"/>
      <c r="AF146" s="612"/>
      <c r="AG146" s="598"/>
      <c r="AH146" s="598"/>
      <c r="AI146" s="612"/>
    </row>
    <row r="147" spans="1:35" ht="12.75">
      <c r="A147" s="598"/>
      <c r="B147" s="598"/>
      <c r="C147" s="598"/>
      <c r="D147" s="598"/>
      <c r="E147" s="598"/>
      <c r="F147" s="598"/>
      <c r="G147" s="598"/>
      <c r="H147" s="598"/>
      <c r="I147" s="598"/>
      <c r="J147" s="598"/>
      <c r="K147" s="625"/>
      <c r="L147" s="625"/>
      <c r="M147" s="625"/>
      <c r="N147" s="625"/>
      <c r="O147" s="625"/>
      <c r="P147" s="625"/>
      <c r="Q147" s="24"/>
      <c r="R147" s="24"/>
      <c r="S147" s="352"/>
      <c r="T147" s="352"/>
      <c r="U147" s="24"/>
      <c r="V147" s="612"/>
      <c r="W147" s="598"/>
      <c r="X147" s="612"/>
      <c r="Y147" s="612"/>
      <c r="Z147" s="612"/>
      <c r="AA147" s="598"/>
      <c r="AB147" s="1365">
        <f>AB146+AC146</f>
        <v>0</v>
      </c>
      <c r="AC147" s="1366"/>
      <c r="AD147" s="612"/>
      <c r="AE147" s="598"/>
      <c r="AF147" s="612"/>
      <c r="AG147" s="598"/>
      <c r="AH147" s="598"/>
      <c r="AI147" s="612"/>
    </row>
    <row r="148" spans="1:35" ht="12.75">
      <c r="A148" s="598"/>
      <c r="B148" s="598"/>
      <c r="C148" s="598"/>
      <c r="D148" s="598"/>
      <c r="E148" s="598"/>
      <c r="F148" s="598"/>
      <c r="G148" s="598"/>
      <c r="H148" s="598"/>
      <c r="I148" s="598"/>
      <c r="J148" s="598"/>
      <c r="K148" s="625"/>
      <c r="L148" s="625"/>
      <c r="M148" s="625"/>
      <c r="N148" s="625"/>
      <c r="O148" s="625"/>
      <c r="P148" s="625"/>
      <c r="Q148" s="24"/>
      <c r="R148" s="24"/>
      <c r="S148" s="352"/>
      <c r="T148" s="352"/>
      <c r="U148" s="24"/>
      <c r="V148" s="612"/>
      <c r="W148" s="598"/>
      <c r="X148" s="612"/>
      <c r="Y148" s="612"/>
      <c r="Z148" s="612"/>
      <c r="AA148" s="598"/>
      <c r="AB148" s="657"/>
      <c r="AC148" s="657"/>
      <c r="AD148" s="612"/>
      <c r="AE148" s="598"/>
      <c r="AF148" s="612"/>
      <c r="AG148" s="598"/>
      <c r="AH148" s="598"/>
      <c r="AI148" s="612"/>
    </row>
    <row r="149" spans="1:35" ht="12.75">
      <c r="A149" s="598"/>
      <c r="B149" s="598"/>
      <c r="C149" s="598"/>
      <c r="D149" s="598"/>
      <c r="E149" s="598"/>
      <c r="F149" s="598"/>
      <c r="G149" s="598"/>
      <c r="H149" s="598"/>
      <c r="I149" s="598"/>
      <c r="J149" s="598"/>
      <c r="K149" s="625"/>
      <c r="L149" s="625"/>
      <c r="M149" s="625"/>
      <c r="N149" s="625"/>
      <c r="O149" s="625"/>
      <c r="P149" s="625"/>
      <c r="Q149" s="24"/>
      <c r="R149" s="24"/>
      <c r="S149" s="352"/>
      <c r="T149" s="352"/>
      <c r="U149" s="24"/>
      <c r="V149" s="612"/>
      <c r="W149" s="598"/>
      <c r="X149" s="612"/>
      <c r="Y149" s="612"/>
      <c r="Z149" s="612"/>
      <c r="AA149" s="598"/>
      <c r="AB149" s="657"/>
      <c r="AC149" s="657"/>
      <c r="AD149" s="612"/>
      <c r="AE149" s="598"/>
      <c r="AF149" s="612"/>
      <c r="AG149" s="598"/>
      <c r="AH149" s="598"/>
      <c r="AI149" s="612"/>
    </row>
    <row r="150" spans="1:35" ht="12.75">
      <c r="A150" s="598"/>
      <c r="B150" s="598"/>
      <c r="C150" s="598"/>
      <c r="D150" s="598"/>
      <c r="E150" s="598"/>
      <c r="F150" s="598"/>
      <c r="G150" s="598"/>
      <c r="H150" s="598"/>
      <c r="I150" s="598"/>
      <c r="J150" s="598"/>
      <c r="K150" s="625"/>
      <c r="L150" s="625"/>
      <c r="M150" s="625"/>
      <c r="N150" s="625"/>
      <c r="O150" s="625"/>
      <c r="P150" s="625"/>
      <c r="Q150" s="24"/>
      <c r="R150" s="24"/>
      <c r="S150" s="352"/>
      <c r="T150" s="352"/>
      <c r="U150" s="24"/>
      <c r="V150" s="612"/>
      <c r="W150" s="598"/>
      <c r="X150" s="612"/>
      <c r="Y150" s="612"/>
      <c r="Z150" s="612"/>
      <c r="AA150" s="598"/>
      <c r="AB150" s="657"/>
      <c r="AC150" s="657"/>
      <c r="AD150" s="612"/>
      <c r="AE150" s="598"/>
      <c r="AF150" s="612"/>
      <c r="AG150" s="598"/>
      <c r="AH150" s="598"/>
      <c r="AI150" s="612"/>
    </row>
    <row r="151" spans="1:35" ht="12.75">
      <c r="A151" s="598"/>
      <c r="B151" s="598"/>
      <c r="C151" s="598"/>
      <c r="D151" s="598"/>
      <c r="E151" s="598"/>
      <c r="F151" s="598"/>
      <c r="G151" s="598"/>
      <c r="H151" s="598"/>
      <c r="I151" s="598"/>
      <c r="J151" s="598"/>
      <c r="K151" s="625"/>
      <c r="L151" s="625"/>
      <c r="M151" s="625"/>
      <c r="N151" s="625"/>
      <c r="O151" s="625"/>
      <c r="P151" s="625"/>
      <c r="Q151" s="24"/>
      <c r="R151" s="24"/>
      <c r="S151" s="352"/>
      <c r="T151" s="352"/>
      <c r="U151" s="24"/>
      <c r="V151" s="612"/>
      <c r="W151" s="598"/>
      <c r="X151" s="612"/>
      <c r="Y151" s="612"/>
      <c r="Z151" s="612"/>
      <c r="AA151" s="598"/>
      <c r="AB151" s="657"/>
      <c r="AC151" s="657"/>
      <c r="AD151" s="612"/>
      <c r="AE151" s="598"/>
      <c r="AF151" s="612"/>
      <c r="AG151" s="598"/>
      <c r="AH151" s="598"/>
      <c r="AI151" s="612"/>
    </row>
    <row r="152" spans="1:35" ht="12.75">
      <c r="A152" s="598"/>
      <c r="B152" s="598"/>
      <c r="C152" s="598"/>
      <c r="D152" s="598"/>
      <c r="E152" s="598"/>
      <c r="F152" s="598"/>
      <c r="G152" s="598"/>
      <c r="H152" s="598"/>
      <c r="I152" s="598"/>
      <c r="J152" s="598"/>
      <c r="K152" s="625"/>
      <c r="L152" s="625"/>
      <c r="M152" s="625"/>
      <c r="N152" s="625"/>
      <c r="O152" s="625"/>
      <c r="P152" s="625"/>
      <c r="Q152" s="24"/>
      <c r="R152" s="24"/>
      <c r="S152" s="352"/>
      <c r="T152" s="352"/>
      <c r="U152" s="24"/>
      <c r="V152" s="612"/>
      <c r="W152" s="598"/>
      <c r="X152" s="612"/>
      <c r="Y152" s="612"/>
      <c r="Z152" s="612"/>
      <c r="AA152" s="598"/>
      <c r="AB152" s="657"/>
      <c r="AC152" s="657"/>
      <c r="AD152" s="612"/>
      <c r="AE152" s="598"/>
      <c r="AF152" s="612"/>
      <c r="AG152" s="598"/>
      <c r="AH152" s="598"/>
      <c r="AI152" s="612"/>
    </row>
    <row r="153" spans="1:35" ht="12.75">
      <c r="A153" s="598"/>
      <c r="B153" s="598"/>
      <c r="C153" s="598"/>
      <c r="D153" s="598"/>
      <c r="E153" s="598"/>
      <c r="F153" s="598"/>
      <c r="G153" s="598"/>
      <c r="H153" s="598"/>
      <c r="I153" s="598"/>
      <c r="J153" s="598"/>
      <c r="K153" s="625"/>
      <c r="L153" s="625"/>
      <c r="M153" s="625"/>
      <c r="N153" s="625"/>
      <c r="O153" s="625"/>
      <c r="P153" s="625"/>
      <c r="Q153" s="24"/>
      <c r="R153" s="24"/>
      <c r="S153" s="352"/>
      <c r="T153" s="352"/>
      <c r="U153" s="24"/>
      <c r="V153" s="612"/>
      <c r="W153" s="598"/>
      <c r="X153" s="612"/>
      <c r="Y153" s="612"/>
      <c r="Z153" s="612"/>
      <c r="AA153" s="598"/>
      <c r="AB153" s="657"/>
      <c r="AC153" s="657"/>
      <c r="AD153" s="612"/>
      <c r="AE153" s="598"/>
      <c r="AF153" s="612"/>
      <c r="AG153" s="598"/>
      <c r="AH153" s="598"/>
      <c r="AI153" s="612"/>
    </row>
    <row r="154" spans="1:35" ht="12.75">
      <c r="A154" s="626">
        <f>SUM(A155:A166)</f>
        <v>11</v>
      </c>
      <c r="B154" s="627">
        <f>SUM(B155:B166)</f>
        <v>0</v>
      </c>
      <c r="C154" s="598"/>
      <c r="D154" s="598"/>
      <c r="E154" s="628" t="s">
        <v>234</v>
      </c>
      <c r="F154" s="598"/>
      <c r="G154" s="598"/>
      <c r="H154" s="598"/>
      <c r="I154" s="598"/>
      <c r="J154" s="598"/>
      <c r="K154" s="625"/>
      <c r="L154" s="625"/>
      <c r="M154" s="625"/>
      <c r="N154" s="625"/>
      <c r="O154" s="625"/>
      <c r="P154" s="625"/>
      <c r="Q154" s="24"/>
      <c r="R154" s="24"/>
      <c r="S154" s="352"/>
      <c r="T154" s="352"/>
      <c r="U154" s="24"/>
      <c r="V154" s="612"/>
      <c r="W154" s="598"/>
      <c r="X154" s="612"/>
      <c r="Y154" s="612"/>
      <c r="Z154" s="612"/>
      <c r="AA154" s="598"/>
      <c r="AB154" s="657"/>
      <c r="AC154" s="657"/>
      <c r="AD154" s="612"/>
      <c r="AE154" s="598"/>
      <c r="AF154" s="612"/>
      <c r="AG154" s="598"/>
      <c r="AH154" s="598"/>
      <c r="AI154" s="612"/>
    </row>
    <row r="155" spans="1:35" ht="12.75">
      <c r="A155" s="598">
        <f>IF($F$10=1,IF(AND(F12&lt;=12,G6&lt;=G14),C155,0),0)</f>
        <v>0</v>
      </c>
      <c r="B155" s="598"/>
      <c r="C155" s="598">
        <v>1</v>
      </c>
      <c r="D155" s="598"/>
      <c r="E155" s="628" t="s">
        <v>178</v>
      </c>
      <c r="F155" s="628" t="s">
        <v>187</v>
      </c>
      <c r="G155" s="598"/>
      <c r="H155" s="598"/>
      <c r="I155" s="598"/>
      <c r="J155" s="598"/>
      <c r="K155" s="625"/>
      <c r="L155" s="625"/>
      <c r="M155" s="625"/>
      <c r="N155" s="625"/>
      <c r="O155" s="625"/>
      <c r="P155" s="625"/>
      <c r="Q155" s="24"/>
      <c r="R155" s="24"/>
      <c r="S155" s="352"/>
      <c r="T155" s="352"/>
      <c r="U155" s="24"/>
      <c r="V155" s="612"/>
      <c r="W155" s="598"/>
      <c r="X155" s="612"/>
      <c r="Y155" s="612"/>
      <c r="Z155" s="612"/>
      <c r="AA155" s="598"/>
      <c r="AB155" s="657"/>
      <c r="AC155" s="657"/>
      <c r="AD155" s="612"/>
      <c r="AE155" s="598"/>
      <c r="AF155" s="612"/>
      <c r="AG155" s="598"/>
      <c r="AH155" s="598"/>
      <c r="AI155" s="612"/>
    </row>
    <row r="156" spans="1:35" ht="12.75">
      <c r="A156" s="598">
        <f>IF($F$10=1,IF(AND(F12&lt;=12,G6&gt;G14),C156,0),0)</f>
        <v>0</v>
      </c>
      <c r="B156" s="629">
        <f>IF(A156&gt;0,1,0)</f>
        <v>0</v>
      </c>
      <c r="C156" s="598">
        <v>2</v>
      </c>
      <c r="D156" s="598"/>
      <c r="E156" s="628" t="s">
        <v>179</v>
      </c>
      <c r="F156" s="628" t="s">
        <v>184</v>
      </c>
      <c r="G156" s="598"/>
      <c r="H156" s="598"/>
      <c r="I156" s="598"/>
      <c r="J156" s="598"/>
      <c r="K156" s="625"/>
      <c r="L156" s="625"/>
      <c r="M156" s="625"/>
      <c r="N156" s="625"/>
      <c r="O156" s="625"/>
      <c r="P156" s="625"/>
      <c r="Q156" s="598"/>
      <c r="R156" s="598"/>
      <c r="S156" s="598"/>
      <c r="T156" s="598"/>
      <c r="U156" s="598"/>
      <c r="V156" s="598"/>
      <c r="W156" s="598"/>
      <c r="X156" s="598"/>
      <c r="Y156" s="598"/>
      <c r="Z156" s="598"/>
      <c r="AA156" s="598"/>
      <c r="AB156" s="598"/>
      <c r="AC156" s="598"/>
      <c r="AD156" s="598"/>
      <c r="AE156" s="598"/>
      <c r="AF156" s="598"/>
      <c r="AG156" s="598"/>
      <c r="AH156" s="598"/>
      <c r="AI156" s="598"/>
    </row>
    <row r="157" spans="1:35" ht="12.75">
      <c r="A157" s="598">
        <f>IF($F$10=1,IF(AND(F12&gt;=13,F12&lt;=18,G6&lt;=G14),C157,0),0)</f>
        <v>0</v>
      </c>
      <c r="B157" s="629"/>
      <c r="C157" s="598">
        <v>3</v>
      </c>
      <c r="D157" s="598"/>
      <c r="E157" s="628" t="s">
        <v>183</v>
      </c>
      <c r="F157" s="628" t="s">
        <v>188</v>
      </c>
      <c r="G157" s="598"/>
      <c r="H157" s="598"/>
      <c r="I157" s="598"/>
      <c r="J157" s="598"/>
      <c r="K157" s="625"/>
      <c r="L157" s="625"/>
      <c r="M157" s="625"/>
      <c r="N157" s="625"/>
      <c r="O157" s="625"/>
      <c r="P157" s="625"/>
      <c r="Q157" s="598"/>
      <c r="R157" s="598"/>
      <c r="S157" s="598"/>
      <c r="T157" s="598"/>
      <c r="U157" s="598"/>
      <c r="V157" s="598"/>
      <c r="W157" s="598"/>
      <c r="X157" s="598"/>
      <c r="Y157" s="598"/>
      <c r="Z157" s="598"/>
      <c r="AA157" s="598"/>
      <c r="AB157" s="598"/>
      <c r="AC157" s="598"/>
      <c r="AD157" s="598"/>
      <c r="AE157" s="598"/>
      <c r="AF157" s="598"/>
      <c r="AG157" s="598"/>
      <c r="AH157" s="598"/>
      <c r="AI157" s="598"/>
    </row>
    <row r="158" spans="1:35" ht="12.75">
      <c r="A158" s="598">
        <f>IF($F$10=1,IF(AND(F12&gt;=13,F12&lt;=18,G6&gt;G14),C158,0),0)</f>
        <v>0</v>
      </c>
      <c r="B158" s="629">
        <f>IF(A158&gt;0,1,0)</f>
        <v>0</v>
      </c>
      <c r="C158" s="598">
        <v>4</v>
      </c>
      <c r="D158" s="598"/>
      <c r="E158" s="628" t="s">
        <v>191</v>
      </c>
      <c r="F158" s="628" t="s">
        <v>185</v>
      </c>
      <c r="G158" s="598"/>
      <c r="H158" s="598"/>
      <c r="I158" s="598"/>
      <c r="J158" s="598"/>
      <c r="K158" s="598"/>
      <c r="L158" s="612"/>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row>
    <row r="159" spans="1:35" ht="12.75">
      <c r="A159" s="598">
        <f>IF($F$10=1,IF(AND(F12&gt;=19,F12&lt;=24,G6&lt;=G14),C159,0),0)</f>
        <v>0</v>
      </c>
      <c r="B159" s="629"/>
      <c r="C159" s="598">
        <v>5</v>
      </c>
      <c r="D159" s="598"/>
      <c r="E159" s="628" t="s">
        <v>186</v>
      </c>
      <c r="F159" s="628" t="s">
        <v>189</v>
      </c>
      <c r="G159" s="598"/>
      <c r="H159" s="598"/>
      <c r="I159" s="598"/>
      <c r="J159" s="598"/>
      <c r="K159" s="598"/>
      <c r="L159" s="612"/>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row>
    <row r="160" spans="1:35" ht="12.75">
      <c r="A160" s="598">
        <f>IF($F$10=1,IF(AND(F12&gt;=19,F12&lt;=24,G6&gt;G14),C160,0),0)</f>
        <v>0</v>
      </c>
      <c r="B160" s="629">
        <f>IF(A160&gt;0,1,0)</f>
        <v>0</v>
      </c>
      <c r="C160" s="598">
        <v>6</v>
      </c>
      <c r="D160" s="598"/>
      <c r="E160" s="628" t="s">
        <v>190</v>
      </c>
      <c r="F160" s="628" t="s">
        <v>196</v>
      </c>
      <c r="G160" s="598"/>
      <c r="H160" s="598"/>
      <c r="I160" s="598"/>
      <c r="J160" s="598"/>
      <c r="K160" s="598"/>
      <c r="L160" s="612"/>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row>
    <row r="161" spans="1:35" ht="12.75">
      <c r="A161" s="598">
        <f>IF($F$10=1,IF(AND(F12&gt;=25,F12&lt;=36,G6&lt;=G14),C161,0),0)</f>
        <v>0</v>
      </c>
      <c r="B161" s="629"/>
      <c r="C161" s="598">
        <v>7</v>
      </c>
      <c r="D161" s="598"/>
      <c r="E161" s="628" t="s">
        <v>192</v>
      </c>
      <c r="F161" s="628" t="s">
        <v>194</v>
      </c>
      <c r="G161" s="598"/>
      <c r="H161" s="598"/>
      <c r="I161" s="598"/>
      <c r="J161" s="598"/>
      <c r="K161" s="598"/>
      <c r="L161" s="612"/>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row>
    <row r="162" spans="1:35" ht="12.75">
      <c r="A162" s="598">
        <f>IF($F$10=1,IF(AND(F12&gt;=25,F12&lt;=36,G6&gt;G14),C162,0),0)</f>
        <v>0</v>
      </c>
      <c r="B162" s="629">
        <f>IF(A162&gt;0,1,0)</f>
        <v>0</v>
      </c>
      <c r="C162" s="598">
        <v>8</v>
      </c>
      <c r="D162" s="598"/>
      <c r="E162" s="628" t="s">
        <v>193</v>
      </c>
      <c r="F162" s="628" t="s">
        <v>195</v>
      </c>
      <c r="G162" s="598"/>
      <c r="H162" s="598"/>
      <c r="I162" s="598"/>
      <c r="J162" s="598"/>
      <c r="K162" s="598"/>
      <c r="L162" s="612"/>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row>
    <row r="163" spans="1:35" ht="12.75">
      <c r="A163" s="598">
        <f>IF($F$10=1,IF(AND(F12&gt;=37,F12&lt;=39,G6&lt;=G14),C163,0),0)</f>
        <v>0</v>
      </c>
      <c r="B163" s="629"/>
      <c r="C163" s="598">
        <v>9</v>
      </c>
      <c r="D163" s="598"/>
      <c r="E163" s="628" t="s">
        <v>197</v>
      </c>
      <c r="F163" s="628" t="s">
        <v>199</v>
      </c>
      <c r="G163" s="598"/>
      <c r="H163" s="598"/>
      <c r="I163" s="598"/>
      <c r="J163" s="598"/>
      <c r="K163" s="598"/>
      <c r="L163" s="612"/>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row>
    <row r="164" spans="1:35" ht="12.75">
      <c r="A164" s="598">
        <f>IF($F$10=1,IF(AND(F12&gt;=37,F12&lt;=39,G6&gt;G14),C164,0),0)</f>
        <v>0</v>
      </c>
      <c r="B164" s="629">
        <f>IF(A164&gt;0,1,0)</f>
        <v>0</v>
      </c>
      <c r="C164" s="598">
        <v>10</v>
      </c>
      <c r="D164" s="598"/>
      <c r="E164" s="628" t="s">
        <v>198</v>
      </c>
      <c r="F164" s="628" t="s">
        <v>200</v>
      </c>
      <c r="G164" s="598"/>
      <c r="H164" s="598"/>
      <c r="I164" s="598"/>
      <c r="J164" s="598"/>
      <c r="K164" s="598"/>
      <c r="L164" s="612"/>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row>
    <row r="165" spans="1:35" ht="12.75">
      <c r="A165" s="598">
        <f>IF($F$10=1,IF(AND(F12&gt;=40),C165,0),0)</f>
        <v>11</v>
      </c>
      <c r="B165" s="629"/>
      <c r="C165" s="598">
        <v>11</v>
      </c>
      <c r="D165" s="598"/>
      <c r="E165" s="628" t="s">
        <v>201</v>
      </c>
      <c r="F165" s="628" t="s">
        <v>371</v>
      </c>
      <c r="G165" s="598"/>
      <c r="H165" s="598"/>
      <c r="I165" s="598"/>
      <c r="J165" s="598"/>
      <c r="K165" s="598"/>
      <c r="L165" s="612"/>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row>
    <row r="166" spans="1:35" ht="12.75">
      <c r="A166" s="598">
        <f>IF($F$10=2,C166,0)</f>
        <v>0</v>
      </c>
      <c r="B166" s="629"/>
      <c r="C166" s="598">
        <v>12</v>
      </c>
      <c r="D166" s="598"/>
      <c r="E166" s="628" t="s">
        <v>202</v>
      </c>
      <c r="F166" s="628" t="s">
        <v>339</v>
      </c>
      <c r="G166" s="598"/>
      <c r="H166" s="598"/>
      <c r="I166" s="598"/>
      <c r="J166" s="598"/>
      <c r="K166" s="598"/>
      <c r="L166" s="612"/>
      <c r="M166" s="598"/>
      <c r="N166" s="598"/>
      <c r="O166" s="598"/>
      <c r="P166" s="598"/>
      <c r="Q166" s="598"/>
      <c r="R166" s="598"/>
      <c r="S166" s="598"/>
      <c r="T166" s="598"/>
      <c r="U166" s="598"/>
      <c r="V166" s="598"/>
      <c r="W166" s="598"/>
      <c r="X166" s="598"/>
      <c r="Y166" s="598"/>
      <c r="Z166" s="598"/>
      <c r="AA166" s="598"/>
      <c r="AB166" s="598"/>
      <c r="AC166" s="598"/>
      <c r="AD166" s="598"/>
      <c r="AE166" s="598"/>
      <c r="AF166" s="598"/>
      <c r="AG166" s="598"/>
      <c r="AH166" s="598"/>
      <c r="AI166" s="598"/>
    </row>
    <row r="167" spans="1:35" ht="12.75">
      <c r="A167" s="598"/>
      <c r="B167" s="629"/>
      <c r="C167" s="598"/>
      <c r="D167" s="598"/>
      <c r="E167" s="598"/>
      <c r="F167" s="598"/>
      <c r="G167" s="598"/>
      <c r="H167" s="598"/>
      <c r="I167" s="598"/>
      <c r="J167" s="598"/>
      <c r="K167" s="598"/>
      <c r="L167" s="612"/>
      <c r="M167" s="598"/>
      <c r="N167" s="598"/>
      <c r="O167" s="598"/>
      <c r="P167" s="598"/>
      <c r="Q167" s="598"/>
      <c r="R167" s="598"/>
      <c r="S167" s="598"/>
      <c r="T167" s="598"/>
      <c r="U167" s="598"/>
      <c r="V167" s="598"/>
      <c r="W167" s="598"/>
      <c r="X167" s="598"/>
      <c r="Y167" s="598"/>
      <c r="Z167" s="598"/>
      <c r="AA167" s="598"/>
      <c r="AB167" s="598"/>
      <c r="AC167" s="598"/>
      <c r="AD167" s="598"/>
      <c r="AE167" s="598"/>
      <c r="AF167" s="598"/>
      <c r="AG167" s="598"/>
      <c r="AH167" s="598"/>
      <c r="AI167" s="598"/>
    </row>
    <row r="168" spans="1:35" ht="12.75">
      <c r="A168" s="598"/>
      <c r="B168" s="629"/>
      <c r="C168" s="598"/>
      <c r="D168" s="598"/>
      <c r="E168" s="598"/>
      <c r="F168" s="598"/>
      <c r="G168" s="598"/>
      <c r="H168" s="598"/>
      <c r="I168" s="598"/>
      <c r="J168" s="598"/>
      <c r="K168" s="598"/>
      <c r="L168" s="612"/>
      <c r="M168" s="598"/>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row>
    <row r="169" spans="1:35" ht="12.75">
      <c r="A169" s="626">
        <f>SUM(A170:A177)</f>
        <v>8</v>
      </c>
      <c r="B169" s="627">
        <f>SUM(B170:B177)</f>
        <v>3</v>
      </c>
      <c r="C169" s="598"/>
      <c r="D169" s="598"/>
      <c r="E169" s="628" t="s">
        <v>235</v>
      </c>
      <c r="F169" s="598"/>
      <c r="G169" s="598"/>
      <c r="H169" s="598"/>
      <c r="I169" s="598"/>
      <c r="J169" s="598"/>
      <c r="K169" s="598"/>
      <c r="L169" s="612"/>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row>
    <row r="170" spans="1:35" ht="12.75">
      <c r="A170" s="598">
        <f>IF($F$10=2,0,IF(AND(G6&gt;0,G31&gt;0),IF(AND(F12&lt;=18,G6&lt;=G14),C170,0),0))</f>
        <v>0</v>
      </c>
      <c r="B170" s="629">
        <f>IF(A170&gt;0,1,0)</f>
        <v>0</v>
      </c>
      <c r="C170" s="598">
        <v>1</v>
      </c>
      <c r="D170" s="598"/>
      <c r="E170" s="628" t="s">
        <v>238</v>
      </c>
      <c r="F170" s="598" t="str">
        <f>"Die Förderung der Eigenstromnutzung ist bei Dachanlagen mit Inbetriebnahme von 01/2009 bis 06/2010  auf 30 kWp beschränkt. Für die dargestellte "&amp;ROUND(G6,2)&amp;" kWp - Anlage wird ein Eigenverbrauchsbonus gewährt."</f>
        <v>Die Förderung der Eigenstromnutzung ist bei Dachanlagen mit Inbetriebnahme von 01/2009 bis 06/2010  auf 30 kWp beschränkt. Für die dargestellte 0 kWp - Anlage wird ein Eigenverbrauchsbonus gewährt.</v>
      </c>
      <c r="G170" s="598"/>
      <c r="H170" s="598"/>
      <c r="I170" s="598"/>
      <c r="J170" s="598"/>
      <c r="K170" s="598"/>
      <c r="L170" s="612"/>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row>
    <row r="171" spans="1:35" ht="12.75">
      <c r="A171" s="598">
        <f>IF($F$10=2,0,IF(AND(G6&gt;0,G31&gt;0),IF(AND(F12&lt;=18,G6&gt;G14),C171,0),0))</f>
        <v>0</v>
      </c>
      <c r="B171" s="629">
        <f>IF(A171&gt;0,3,0)</f>
        <v>0</v>
      </c>
      <c r="C171" s="598">
        <v>2</v>
      </c>
      <c r="D171" s="598"/>
      <c r="E171" s="628" t="s">
        <v>239</v>
      </c>
      <c r="F171" s="598" t="s">
        <v>237</v>
      </c>
      <c r="G171" s="598"/>
      <c r="H171" s="598"/>
      <c r="I171" s="598"/>
      <c r="J171" s="598"/>
      <c r="K171" s="598"/>
      <c r="L171" s="612"/>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row>
    <row r="172" spans="1:35" ht="12.75">
      <c r="A172" s="598">
        <f>IF($F$10=2,0,IF(AND(G6&gt;0,G31&gt;0),IF(AND(F12&gt;=19,F12&lt;=39,G6&lt;=G14),C172,0),0))</f>
        <v>0</v>
      </c>
      <c r="B172" s="629">
        <f>IF(A172&gt;0,2,0)</f>
        <v>0</v>
      </c>
      <c r="C172" s="598">
        <v>3</v>
      </c>
      <c r="D172" s="598"/>
      <c r="E172" s="628" t="s">
        <v>240</v>
      </c>
      <c r="F172" s="598" t="str">
        <f>"Die Förderung der Eigenstromnutzung ist bei Dachanlagen mit Inbetriebnahme von 07/2010 und 03/2012  auf 500 kWp beschränkt. Für die dargestellte "&amp;ROUND(G6,2)&amp;" kWp - Anlage wird ein Eigenverbrauchsbonus gewährt."</f>
        <v>Die Förderung der Eigenstromnutzung ist bei Dachanlagen mit Inbetriebnahme von 07/2010 und 03/2012  auf 500 kWp beschränkt. Für die dargestellte 0 kWp - Anlage wird ein Eigenverbrauchsbonus gewährt.</v>
      </c>
      <c r="G172" s="598"/>
      <c r="H172" s="598"/>
      <c r="I172" s="598"/>
      <c r="J172" s="598"/>
      <c r="K172" s="598"/>
      <c r="L172" s="612"/>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row>
    <row r="173" spans="1:35" ht="12.75">
      <c r="A173" s="598">
        <f>IF($F$10=2,0,IF(AND(G6&gt;0,G31&gt;0),IF(AND(F12&gt;=19,F12&lt;=39,G6&gt;G14),C173,0),0))</f>
        <v>0</v>
      </c>
      <c r="B173" s="629">
        <f>IF(A173&gt;0,3,0)</f>
        <v>0</v>
      </c>
      <c r="C173" s="598">
        <v>4</v>
      </c>
      <c r="D173" s="598"/>
      <c r="E173" s="628" t="s">
        <v>241</v>
      </c>
      <c r="F173" s="598" t="s">
        <v>242</v>
      </c>
      <c r="G173" s="598"/>
      <c r="H173" s="598"/>
      <c r="I173" s="598"/>
      <c r="J173" s="598"/>
      <c r="K173" s="598"/>
      <c r="L173" s="612"/>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row>
    <row r="174" spans="1:35" ht="12.75">
      <c r="A174" s="598">
        <f>IF($F$10=2,0,IF(AND(G6&gt;0,G31&gt;0),IF(AND(F12&gt;=40),C174,0),0))</f>
        <v>0</v>
      </c>
      <c r="B174" s="629">
        <f>IF(A174&gt;0,3,0)</f>
        <v>0</v>
      </c>
      <c r="C174" s="598">
        <v>5</v>
      </c>
      <c r="D174" s="598"/>
      <c r="E174" s="628" t="s">
        <v>201</v>
      </c>
      <c r="F174" s="598" t="s">
        <v>243</v>
      </c>
      <c r="G174" s="598"/>
      <c r="H174" s="598"/>
      <c r="I174" s="598"/>
      <c r="J174" s="598"/>
      <c r="K174" s="598"/>
      <c r="L174" s="612"/>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row>
    <row r="175" spans="1:35" ht="12.75">
      <c r="A175" s="598">
        <f>IF($F$10=1,0,IF(G6&gt;0,C175,0))</f>
        <v>0</v>
      </c>
      <c r="B175" s="629">
        <f>IF(A175&gt;0,3,0)</f>
        <v>0</v>
      </c>
      <c r="C175" s="598">
        <v>6</v>
      </c>
      <c r="D175" s="598"/>
      <c r="E175" s="628" t="s">
        <v>202</v>
      </c>
      <c r="F175" s="598" t="s">
        <v>236</v>
      </c>
      <c r="G175" s="598"/>
      <c r="H175" s="598"/>
      <c r="I175" s="598"/>
      <c r="J175" s="598"/>
      <c r="K175" s="598"/>
      <c r="L175" s="612"/>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row>
    <row r="176" spans="1:35" ht="12.75">
      <c r="A176" s="598">
        <f>IF($F$10=2,0,IF(AND(G6&gt;0,G31=0),C176,0))</f>
        <v>0</v>
      </c>
      <c r="B176" s="629">
        <f>IF(A176&gt;0,3,0)</f>
        <v>0</v>
      </c>
      <c r="C176" s="598">
        <v>7</v>
      </c>
      <c r="D176" s="598"/>
      <c r="E176" s="598" t="s">
        <v>247</v>
      </c>
      <c r="F176" s="598" t="s">
        <v>246</v>
      </c>
      <c r="G176" s="598"/>
      <c r="H176" s="598"/>
      <c r="I176" s="598"/>
      <c r="J176" s="598"/>
      <c r="K176" s="598"/>
      <c r="L176" s="612"/>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row>
    <row r="177" spans="1:35" ht="12.75">
      <c r="A177" s="598">
        <f>IF(G6=0,C177,0)</f>
        <v>8</v>
      </c>
      <c r="B177" s="629">
        <f>IF(A177&gt;0,3,0)</f>
        <v>3</v>
      </c>
      <c r="C177" s="598">
        <v>8</v>
      </c>
      <c r="D177" s="598"/>
      <c r="E177" s="598" t="s">
        <v>248</v>
      </c>
      <c r="F177" s="628" t="s">
        <v>249</v>
      </c>
      <c r="G177" s="598"/>
      <c r="H177" s="598"/>
      <c r="I177" s="598"/>
      <c r="J177" s="598"/>
      <c r="K177" s="598"/>
      <c r="L177" s="612"/>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row>
    <row r="178" spans="1:35" ht="12.75">
      <c r="A178" s="598"/>
      <c r="B178" s="598"/>
      <c r="C178" s="598"/>
      <c r="D178" s="598"/>
      <c r="E178" s="598"/>
      <c r="F178" s="598"/>
      <c r="G178" s="598"/>
      <c r="H178" s="598"/>
      <c r="I178" s="598"/>
      <c r="J178" s="598"/>
      <c r="K178" s="598"/>
      <c r="L178" s="612"/>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row>
    <row r="179" spans="1:35" ht="12.75">
      <c r="A179" s="598"/>
      <c r="B179" s="598"/>
      <c r="C179" s="598"/>
      <c r="D179" s="598"/>
      <c r="E179" s="598"/>
      <c r="F179" s="598"/>
      <c r="G179" s="598"/>
      <c r="H179" s="598"/>
      <c r="I179" s="598"/>
      <c r="J179" s="598"/>
      <c r="K179" s="598"/>
      <c r="L179" s="612"/>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row>
    <row r="180" spans="1:35" ht="12.75">
      <c r="A180" s="598"/>
      <c r="B180" s="598"/>
      <c r="C180" s="598"/>
      <c r="D180" s="598"/>
      <c r="E180" s="598"/>
      <c r="F180" s="598"/>
      <c r="G180" s="598"/>
      <c r="H180" s="598"/>
      <c r="I180" s="598"/>
      <c r="J180" s="598"/>
      <c r="K180" s="598"/>
      <c r="L180" s="612"/>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row>
    <row r="181" spans="1:35" ht="12.75">
      <c r="A181" s="598"/>
      <c r="B181" s="598"/>
      <c r="C181" s="598"/>
      <c r="D181" s="598"/>
      <c r="E181" s="598"/>
      <c r="F181" s="598"/>
      <c r="G181" s="598"/>
      <c r="H181" s="598"/>
      <c r="I181" s="598"/>
      <c r="J181" s="598"/>
      <c r="K181" s="598"/>
      <c r="L181" s="612"/>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row>
    <row r="182" spans="1:35" ht="12.75">
      <c r="A182" s="598"/>
      <c r="B182" s="598"/>
      <c r="C182" s="598"/>
      <c r="D182" s="598"/>
      <c r="E182" s="598"/>
      <c r="F182" s="598"/>
      <c r="G182" s="598"/>
      <c r="H182" s="598"/>
      <c r="I182" s="598"/>
      <c r="J182" s="598"/>
      <c r="K182" s="598"/>
      <c r="L182" s="612"/>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row>
    <row r="183" spans="1:35" ht="12.75">
      <c r="A183" s="598"/>
      <c r="B183" s="598"/>
      <c r="C183" s="598"/>
      <c r="D183" s="598"/>
      <c r="E183" s="598"/>
      <c r="F183" s="598"/>
      <c r="G183" s="598"/>
      <c r="H183" s="598"/>
      <c r="I183" s="598"/>
      <c r="J183" s="598"/>
      <c r="K183" s="598"/>
      <c r="L183" s="612"/>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row>
    <row r="184" spans="1:35" ht="12.75">
      <c r="A184" s="598"/>
      <c r="B184" s="598"/>
      <c r="C184" s="598"/>
      <c r="D184" s="598"/>
      <c r="E184" s="598"/>
      <c r="F184" s="598"/>
      <c r="G184" s="598"/>
      <c r="H184" s="598"/>
      <c r="I184" s="598"/>
      <c r="J184" s="598"/>
      <c r="K184" s="598"/>
      <c r="L184" s="612"/>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row>
    <row r="185" spans="1:35" ht="12.75">
      <c r="A185" s="598"/>
      <c r="B185" s="598"/>
      <c r="C185" s="598"/>
      <c r="D185" s="598"/>
      <c r="E185" s="598"/>
      <c r="F185" s="598"/>
      <c r="G185" s="598"/>
      <c r="H185" s="598"/>
      <c r="I185" s="598"/>
      <c r="J185" s="598"/>
      <c r="K185" s="598"/>
      <c r="L185" s="612"/>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row>
    <row r="186" spans="1:35" ht="12.75">
      <c r="A186" s="598"/>
      <c r="B186" s="598"/>
      <c r="C186" s="598"/>
      <c r="D186" s="598"/>
      <c r="E186" s="598"/>
      <c r="F186" s="598"/>
      <c r="G186" s="598"/>
      <c r="H186" s="598"/>
      <c r="I186" s="598"/>
      <c r="J186" s="598"/>
      <c r="K186" s="598"/>
      <c r="L186" s="612"/>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row>
    <row r="187" spans="1:35" ht="12.75">
      <c r="A187" s="598"/>
      <c r="B187" s="598"/>
      <c r="C187" s="598"/>
      <c r="D187" s="598"/>
      <c r="E187" s="598"/>
      <c r="F187" s="598"/>
      <c r="G187" s="598"/>
      <c r="H187" s="598"/>
      <c r="I187" s="598"/>
      <c r="J187" s="598"/>
      <c r="K187" s="598"/>
      <c r="L187" s="612"/>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row>
    <row r="188" spans="1:35" ht="12.75">
      <c r="A188" s="598"/>
      <c r="B188" s="598"/>
      <c r="C188" s="598"/>
      <c r="D188" s="598"/>
      <c r="E188" s="598"/>
      <c r="F188" s="598"/>
      <c r="G188" s="598"/>
      <c r="H188" s="598"/>
      <c r="I188" s="598"/>
      <c r="J188" s="598"/>
      <c r="K188" s="598"/>
      <c r="L188" s="612"/>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row>
    <row r="189" spans="1:35" ht="12.75">
      <c r="A189" s="598"/>
      <c r="B189" s="598"/>
      <c r="C189" s="598"/>
      <c r="D189" s="598"/>
      <c r="E189" s="598"/>
      <c r="F189" s="598"/>
      <c r="G189" s="598"/>
      <c r="H189" s="598"/>
      <c r="I189" s="598"/>
      <c r="J189" s="598"/>
      <c r="K189" s="598"/>
      <c r="L189" s="612"/>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row>
    <row r="190" spans="1:25" ht="12.75">
      <c r="A190" s="598"/>
      <c r="B190" s="598"/>
      <c r="C190" s="598"/>
      <c r="D190" s="598"/>
      <c r="E190" s="598"/>
      <c r="F190" s="598"/>
      <c r="G190" s="598"/>
      <c r="H190" s="598"/>
      <c r="I190" s="598"/>
      <c r="J190" s="598"/>
      <c r="K190" s="598"/>
      <c r="L190" s="612"/>
      <c r="M190" s="598"/>
      <c r="N190" s="598"/>
      <c r="O190" s="598"/>
      <c r="P190" s="598"/>
      <c r="Q190" s="598"/>
      <c r="R190" s="598"/>
      <c r="S190" s="598"/>
      <c r="T190" s="598"/>
      <c r="U190" s="598"/>
      <c r="V190" s="598"/>
      <c r="W190" s="598"/>
      <c r="X190" s="598"/>
      <c r="Y190" s="598"/>
    </row>
    <row r="191" spans="1:25" ht="12.75">
      <c r="A191" s="598"/>
      <c r="B191" s="598"/>
      <c r="C191" s="598"/>
      <c r="D191" s="598"/>
      <c r="E191" s="598"/>
      <c r="F191" s="598"/>
      <c r="G191" s="598"/>
      <c r="H191" s="598"/>
      <c r="I191" s="598"/>
      <c r="J191" s="598"/>
      <c r="K191" s="598"/>
      <c r="L191" s="612"/>
      <c r="M191" s="598"/>
      <c r="N191" s="598"/>
      <c r="O191" s="598"/>
      <c r="P191" s="598"/>
      <c r="Q191" s="598"/>
      <c r="R191" s="598"/>
      <c r="S191" s="598"/>
      <c r="T191" s="598"/>
      <c r="U191" s="598"/>
      <c r="V191" s="598"/>
      <c r="W191" s="598"/>
      <c r="X191" s="598"/>
      <c r="Y191" s="598"/>
    </row>
    <row r="192" spans="1:25" ht="12.75">
      <c r="A192" s="598"/>
      <c r="B192" s="598"/>
      <c r="C192" s="598"/>
      <c r="D192" s="598"/>
      <c r="E192" s="598"/>
      <c r="F192" s="598"/>
      <c r="G192" s="598"/>
      <c r="H192" s="598"/>
      <c r="I192" s="598"/>
      <c r="J192" s="598"/>
      <c r="K192" s="598"/>
      <c r="L192" s="612"/>
      <c r="M192" s="598"/>
      <c r="N192" s="598"/>
      <c r="O192" s="598"/>
      <c r="P192" s="598"/>
      <c r="Q192" s="598"/>
      <c r="R192" s="598"/>
      <c r="S192" s="598"/>
      <c r="T192" s="598"/>
      <c r="U192" s="598"/>
      <c r="V192" s="598"/>
      <c r="W192" s="598"/>
      <c r="X192" s="598"/>
      <c r="Y192" s="598"/>
    </row>
    <row r="193" spans="1:25" ht="12.75">
      <c r="A193" s="598"/>
      <c r="B193" s="598"/>
      <c r="C193" s="598"/>
      <c r="D193" s="598"/>
      <c r="E193" s="598"/>
      <c r="F193" s="598"/>
      <c r="G193" s="598"/>
      <c r="H193" s="598"/>
      <c r="I193" s="598"/>
      <c r="J193" s="598"/>
      <c r="K193" s="598"/>
      <c r="L193" s="612"/>
      <c r="M193" s="598"/>
      <c r="N193" s="598"/>
      <c r="O193" s="598"/>
      <c r="P193" s="598"/>
      <c r="Q193" s="598"/>
      <c r="R193" s="598"/>
      <c r="S193" s="598"/>
      <c r="T193" s="598"/>
      <c r="U193" s="598"/>
      <c r="V193" s="598"/>
      <c r="W193" s="598"/>
      <c r="X193" s="598"/>
      <c r="Y193" s="598"/>
    </row>
    <row r="194" spans="1:25" ht="12.75">
      <c r="A194" s="598"/>
      <c r="B194" s="598"/>
      <c r="C194" s="598"/>
      <c r="D194" s="598"/>
      <c r="E194" s="598"/>
      <c r="F194" s="598"/>
      <c r="G194" s="598"/>
      <c r="H194" s="598"/>
      <c r="I194" s="598"/>
      <c r="J194" s="598"/>
      <c r="K194" s="598"/>
      <c r="L194" s="612"/>
      <c r="M194" s="598"/>
      <c r="N194" s="598"/>
      <c r="O194" s="598"/>
      <c r="P194" s="598"/>
      <c r="Q194" s="598"/>
      <c r="R194" s="598"/>
      <c r="S194" s="598"/>
      <c r="T194" s="598"/>
      <c r="U194" s="598"/>
      <c r="V194" s="598"/>
      <c r="W194" s="598"/>
      <c r="X194" s="598"/>
      <c r="Y194" s="598"/>
    </row>
    <row r="195" spans="1:25" ht="12.75">
      <c r="A195" s="598"/>
      <c r="B195" s="598"/>
      <c r="C195" s="598"/>
      <c r="D195" s="598"/>
      <c r="E195" s="598"/>
      <c r="F195" s="598"/>
      <c r="G195" s="598"/>
      <c r="H195" s="598"/>
      <c r="I195" s="598"/>
      <c r="J195" s="598"/>
      <c r="K195" s="598"/>
      <c r="L195" s="612"/>
      <c r="M195" s="598"/>
      <c r="N195" s="598"/>
      <c r="O195" s="598"/>
      <c r="P195" s="598"/>
      <c r="Q195" s="598"/>
      <c r="R195" s="598"/>
      <c r="S195" s="598"/>
      <c r="T195" s="598"/>
      <c r="U195" s="598"/>
      <c r="V195" s="598"/>
      <c r="W195" s="598"/>
      <c r="X195" s="598"/>
      <c r="Y195" s="598"/>
    </row>
    <row r="196" spans="1:25" ht="12.75">
      <c r="A196" s="598"/>
      <c r="B196" s="598"/>
      <c r="C196" s="598"/>
      <c r="D196" s="598"/>
      <c r="E196" s="598"/>
      <c r="F196" s="598"/>
      <c r="G196" s="598"/>
      <c r="H196" s="598"/>
      <c r="I196" s="598"/>
      <c r="J196" s="598"/>
      <c r="K196" s="598"/>
      <c r="L196" s="612"/>
      <c r="M196" s="598"/>
      <c r="N196" s="598"/>
      <c r="O196" s="598"/>
      <c r="P196" s="598"/>
      <c r="Q196" s="598"/>
      <c r="R196" s="598"/>
      <c r="S196" s="598"/>
      <c r="T196" s="598"/>
      <c r="U196" s="598"/>
      <c r="V196" s="598"/>
      <c r="W196" s="598"/>
      <c r="X196" s="598"/>
      <c r="Y196" s="598"/>
    </row>
    <row r="197" spans="1:25" ht="12.75">
      <c r="A197" s="598"/>
      <c r="B197" s="598"/>
      <c r="C197" s="598"/>
      <c r="D197" s="598"/>
      <c r="E197" s="598"/>
      <c r="F197" s="598"/>
      <c r="G197" s="598"/>
      <c r="H197" s="598"/>
      <c r="I197" s="598"/>
      <c r="J197" s="598"/>
      <c r="K197" s="598"/>
      <c r="L197" s="612"/>
      <c r="M197" s="598"/>
      <c r="N197" s="598"/>
      <c r="O197" s="598"/>
      <c r="P197" s="598"/>
      <c r="Q197" s="598"/>
      <c r="R197" s="598"/>
      <c r="S197" s="598"/>
      <c r="T197" s="598"/>
      <c r="U197" s="598"/>
      <c r="V197" s="598"/>
      <c r="W197" s="598"/>
      <c r="X197" s="598"/>
      <c r="Y197" s="598"/>
    </row>
    <row r="198" spans="1:25" ht="12.75">
      <c r="A198" s="598"/>
      <c r="B198" s="598"/>
      <c r="C198" s="598"/>
      <c r="D198" s="598"/>
      <c r="E198" s="598"/>
      <c r="F198" s="598"/>
      <c r="G198" s="598"/>
      <c r="H198" s="598"/>
      <c r="I198" s="598"/>
      <c r="J198" s="598"/>
      <c r="K198" s="598"/>
      <c r="L198" s="612"/>
      <c r="M198" s="598"/>
      <c r="N198" s="598"/>
      <c r="O198" s="598"/>
      <c r="P198" s="598"/>
      <c r="Q198" s="598"/>
      <c r="R198" s="598"/>
      <c r="S198" s="598"/>
      <c r="T198" s="598"/>
      <c r="U198" s="598"/>
      <c r="V198" s="598"/>
      <c r="W198" s="598"/>
      <c r="X198" s="598"/>
      <c r="Y198" s="598"/>
    </row>
    <row r="199" spans="1:25" ht="12.75">
      <c r="A199" s="598"/>
      <c r="B199" s="598"/>
      <c r="C199" s="598"/>
      <c r="D199" s="598"/>
      <c r="E199" s="598"/>
      <c r="F199" s="598"/>
      <c r="G199" s="598"/>
      <c r="H199" s="598"/>
      <c r="I199" s="598"/>
      <c r="J199" s="598"/>
      <c r="K199" s="598"/>
      <c r="L199" s="612"/>
      <c r="M199" s="598"/>
      <c r="N199" s="598"/>
      <c r="O199" s="598"/>
      <c r="P199" s="598"/>
      <c r="Q199" s="598"/>
      <c r="R199" s="598"/>
      <c r="S199" s="598"/>
      <c r="T199" s="598"/>
      <c r="U199" s="598"/>
      <c r="V199" s="598"/>
      <c r="W199" s="598"/>
      <c r="X199" s="598"/>
      <c r="Y199" s="598"/>
    </row>
    <row r="200" spans="1:25" ht="12.75">
      <c r="A200" s="598"/>
      <c r="B200" s="598"/>
      <c r="C200" s="598"/>
      <c r="D200" s="598"/>
      <c r="E200" s="598"/>
      <c r="F200" s="598"/>
      <c r="G200" s="598"/>
      <c r="H200" s="598"/>
      <c r="I200" s="598"/>
      <c r="J200" s="598"/>
      <c r="K200" s="598"/>
      <c r="L200" s="612"/>
      <c r="M200" s="598"/>
      <c r="N200" s="598"/>
      <c r="O200" s="598"/>
      <c r="P200" s="598"/>
      <c r="Q200" s="598"/>
      <c r="R200" s="598"/>
      <c r="S200" s="598"/>
      <c r="T200" s="598"/>
      <c r="U200" s="598"/>
      <c r="V200" s="598"/>
      <c r="W200" s="598"/>
      <c r="X200" s="598"/>
      <c r="Y200" s="598"/>
    </row>
    <row r="201" spans="1:25" ht="12.75">
      <c r="A201" s="598"/>
      <c r="B201" s="598"/>
      <c r="C201" s="598"/>
      <c r="D201" s="598"/>
      <c r="E201" s="598"/>
      <c r="F201" s="598"/>
      <c r="G201" s="598"/>
      <c r="H201" s="598"/>
      <c r="I201" s="598"/>
      <c r="J201" s="598"/>
      <c r="K201" s="598"/>
      <c r="L201" s="612"/>
      <c r="M201" s="598"/>
      <c r="N201" s="598"/>
      <c r="O201" s="598"/>
      <c r="P201" s="598"/>
      <c r="Q201" s="598"/>
      <c r="R201" s="598"/>
      <c r="S201" s="598"/>
      <c r="T201" s="598"/>
      <c r="U201" s="598"/>
      <c r="V201" s="598"/>
      <c r="W201" s="598"/>
      <c r="X201" s="598"/>
      <c r="Y201" s="598"/>
    </row>
    <row r="202" spans="1:25" ht="12.75">
      <c r="A202" s="598"/>
      <c r="B202" s="598"/>
      <c r="C202" s="598"/>
      <c r="D202" s="598"/>
      <c r="E202" s="598"/>
      <c r="F202" s="598"/>
      <c r="G202" s="598"/>
      <c r="H202" s="598"/>
      <c r="I202" s="598"/>
      <c r="J202" s="598"/>
      <c r="K202" s="598"/>
      <c r="L202" s="612"/>
      <c r="M202" s="598"/>
      <c r="N202" s="598"/>
      <c r="O202" s="598"/>
      <c r="P202" s="598"/>
      <c r="Q202" s="598"/>
      <c r="R202" s="598"/>
      <c r="S202" s="598"/>
      <c r="T202" s="598"/>
      <c r="U202" s="598"/>
      <c r="V202" s="598"/>
      <c r="W202" s="598"/>
      <c r="X202" s="598"/>
      <c r="Y202" s="598"/>
    </row>
    <row r="203" spans="1:25" ht="12.75">
      <c r="A203" s="598"/>
      <c r="B203" s="598"/>
      <c r="C203" s="598"/>
      <c r="D203" s="598"/>
      <c r="E203" s="598"/>
      <c r="F203" s="598"/>
      <c r="G203" s="598"/>
      <c r="H203" s="598"/>
      <c r="I203" s="598"/>
      <c r="J203" s="598"/>
      <c r="K203" s="598"/>
      <c r="L203" s="612"/>
      <c r="M203" s="598"/>
      <c r="N203" s="598"/>
      <c r="O203" s="598"/>
      <c r="P203" s="598"/>
      <c r="Q203" s="598"/>
      <c r="R203" s="598"/>
      <c r="S203" s="598"/>
      <c r="T203" s="598"/>
      <c r="U203" s="598"/>
      <c r="V203" s="598"/>
      <c r="W203" s="598"/>
      <c r="X203" s="598"/>
      <c r="Y203" s="598"/>
    </row>
    <row r="204" spans="1:25" ht="12.75">
      <c r="A204" s="598"/>
      <c r="B204" s="598"/>
      <c r="C204" s="598"/>
      <c r="D204" s="598"/>
      <c r="E204" s="598"/>
      <c r="F204" s="598"/>
      <c r="G204" s="598"/>
      <c r="H204" s="598"/>
      <c r="I204" s="598"/>
      <c r="J204" s="598"/>
      <c r="K204" s="598"/>
      <c r="L204" s="612"/>
      <c r="M204" s="598"/>
      <c r="N204" s="598"/>
      <c r="O204" s="598"/>
      <c r="P204" s="598"/>
      <c r="Q204" s="598"/>
      <c r="R204" s="598"/>
      <c r="S204" s="598"/>
      <c r="T204" s="598"/>
      <c r="U204" s="598"/>
      <c r="V204" s="598"/>
      <c r="W204" s="598"/>
      <c r="X204" s="598"/>
      <c r="Y204" s="598"/>
    </row>
    <row r="205" spans="1:25" ht="12.75">
      <c r="A205" s="598"/>
      <c r="B205" s="598"/>
      <c r="C205" s="598"/>
      <c r="D205" s="598"/>
      <c r="E205" s="598"/>
      <c r="F205" s="598"/>
      <c r="G205" s="598"/>
      <c r="H205" s="598"/>
      <c r="I205" s="598"/>
      <c r="J205" s="598"/>
      <c r="K205" s="598"/>
      <c r="L205" s="612"/>
      <c r="M205" s="598"/>
      <c r="N205" s="598"/>
      <c r="O205" s="598"/>
      <c r="P205" s="598"/>
      <c r="Q205" s="598"/>
      <c r="R205" s="598"/>
      <c r="S205" s="598"/>
      <c r="T205" s="598"/>
      <c r="U205" s="598"/>
      <c r="V205" s="598"/>
      <c r="W205" s="598"/>
      <c r="X205" s="598"/>
      <c r="Y205" s="598"/>
    </row>
    <row r="206" spans="1:25" ht="12.75">
      <c r="A206" s="598"/>
      <c r="B206" s="598"/>
      <c r="C206" s="598"/>
      <c r="D206" s="598"/>
      <c r="E206" s="598"/>
      <c r="F206" s="598"/>
      <c r="G206" s="598"/>
      <c r="H206" s="598"/>
      <c r="I206" s="598"/>
      <c r="J206" s="598"/>
      <c r="K206" s="598"/>
      <c r="L206" s="612"/>
      <c r="M206" s="598"/>
      <c r="N206" s="598"/>
      <c r="O206" s="598"/>
      <c r="P206" s="598"/>
      <c r="Q206" s="598"/>
      <c r="R206" s="598"/>
      <c r="S206" s="598"/>
      <c r="T206" s="598"/>
      <c r="U206" s="598"/>
      <c r="V206" s="598"/>
      <c r="W206" s="598"/>
      <c r="X206" s="598"/>
      <c r="Y206" s="598"/>
    </row>
    <row r="207" spans="1:25" ht="12.75">
      <c r="A207" s="598"/>
      <c r="B207" s="598"/>
      <c r="C207" s="598"/>
      <c r="D207" s="598"/>
      <c r="E207" s="598"/>
      <c r="F207" s="598"/>
      <c r="G207" s="598"/>
      <c r="H207" s="598"/>
      <c r="I207" s="598"/>
      <c r="J207" s="598"/>
      <c r="K207" s="598"/>
      <c r="L207" s="612"/>
      <c r="M207" s="598"/>
      <c r="N207" s="598"/>
      <c r="O207" s="598"/>
      <c r="P207" s="598"/>
      <c r="Q207" s="598"/>
      <c r="R207" s="598"/>
      <c r="S207" s="598"/>
      <c r="T207" s="598"/>
      <c r="U207" s="598"/>
      <c r="V207" s="598"/>
      <c r="W207" s="598"/>
      <c r="X207" s="598"/>
      <c r="Y207" s="598"/>
    </row>
    <row r="208" spans="1:25" ht="12.75">
      <c r="A208" s="598"/>
      <c r="B208" s="598"/>
      <c r="C208" s="598"/>
      <c r="D208" s="598"/>
      <c r="E208" s="598"/>
      <c r="F208" s="598"/>
      <c r="G208" s="598"/>
      <c r="H208" s="598"/>
      <c r="I208" s="598"/>
      <c r="J208" s="598"/>
      <c r="K208" s="598"/>
      <c r="L208" s="612"/>
      <c r="M208" s="598"/>
      <c r="N208" s="598"/>
      <c r="O208" s="598"/>
      <c r="P208" s="598"/>
      <c r="Q208" s="598"/>
      <c r="R208" s="598"/>
      <c r="S208" s="598"/>
      <c r="T208" s="598"/>
      <c r="U208" s="598"/>
      <c r="V208" s="598"/>
      <c r="W208" s="598"/>
      <c r="X208" s="598"/>
      <c r="Y208" s="598"/>
    </row>
    <row r="209" spans="1:25" ht="12.75">
      <c r="A209" s="598"/>
      <c r="B209" s="598"/>
      <c r="C209" s="598"/>
      <c r="D209" s="598"/>
      <c r="E209" s="598"/>
      <c r="F209" s="598"/>
      <c r="G209" s="598"/>
      <c r="H209" s="598"/>
      <c r="I209" s="598"/>
      <c r="J209" s="598"/>
      <c r="K209" s="598"/>
      <c r="L209" s="612"/>
      <c r="M209" s="598"/>
      <c r="N209" s="598"/>
      <c r="O209" s="598"/>
      <c r="P209" s="598"/>
      <c r="Q209" s="598"/>
      <c r="R209" s="598"/>
      <c r="S209" s="598"/>
      <c r="T209" s="598"/>
      <c r="U209" s="598"/>
      <c r="V209" s="598"/>
      <c r="W209" s="598"/>
      <c r="X209" s="598"/>
      <c r="Y209" s="598"/>
    </row>
    <row r="210" spans="1:25" ht="12.75">
      <c r="A210" s="598"/>
      <c r="B210" s="598"/>
      <c r="C210" s="598"/>
      <c r="D210" s="598"/>
      <c r="E210" s="598"/>
      <c r="F210" s="598"/>
      <c r="G210" s="598"/>
      <c r="H210" s="598"/>
      <c r="I210" s="598"/>
      <c r="J210" s="598"/>
      <c r="K210" s="598"/>
      <c r="L210" s="612"/>
      <c r="M210" s="598"/>
      <c r="N210" s="598"/>
      <c r="O210" s="598"/>
      <c r="P210" s="598"/>
      <c r="Q210" s="598"/>
      <c r="R210" s="598"/>
      <c r="S210" s="598"/>
      <c r="T210" s="598"/>
      <c r="U210" s="598"/>
      <c r="V210" s="598"/>
      <c r="W210" s="598"/>
      <c r="X210" s="598"/>
      <c r="Y210" s="598"/>
    </row>
    <row r="211" spans="1:25" ht="12.75">
      <c r="A211" s="598"/>
      <c r="B211" s="598"/>
      <c r="C211" s="598"/>
      <c r="D211" s="598"/>
      <c r="E211" s="598"/>
      <c r="F211" s="598"/>
      <c r="G211" s="598"/>
      <c r="H211" s="598"/>
      <c r="I211" s="598"/>
      <c r="J211" s="598"/>
      <c r="K211" s="598"/>
      <c r="L211" s="612"/>
      <c r="M211" s="598"/>
      <c r="N211" s="598"/>
      <c r="O211" s="598"/>
      <c r="P211" s="598"/>
      <c r="Q211" s="598"/>
      <c r="R211" s="598"/>
      <c r="S211" s="598"/>
      <c r="T211" s="598"/>
      <c r="U211" s="598"/>
      <c r="V211" s="598"/>
      <c r="W211" s="598"/>
      <c r="X211" s="598"/>
      <c r="Y211" s="598"/>
    </row>
    <row r="212" spans="1:25" ht="12.75">
      <c r="A212" s="598"/>
      <c r="B212" s="598"/>
      <c r="C212" s="598"/>
      <c r="D212" s="598"/>
      <c r="E212" s="598"/>
      <c r="F212" s="598"/>
      <c r="G212" s="598"/>
      <c r="H212" s="598"/>
      <c r="I212" s="598"/>
      <c r="J212" s="598"/>
      <c r="K212" s="598"/>
      <c r="L212" s="612"/>
      <c r="M212" s="598"/>
      <c r="N212" s="598"/>
      <c r="O212" s="598"/>
      <c r="P212" s="598"/>
      <c r="Q212" s="598"/>
      <c r="R212" s="598"/>
      <c r="S212" s="598"/>
      <c r="T212" s="598"/>
      <c r="U212" s="598"/>
      <c r="V212" s="598"/>
      <c r="W212" s="598"/>
      <c r="X212" s="598"/>
      <c r="Y212" s="598"/>
    </row>
    <row r="213" spans="1:25" ht="12.75">
      <c r="A213" s="598"/>
      <c r="B213" s="598"/>
      <c r="C213" s="598"/>
      <c r="D213" s="598"/>
      <c r="E213" s="598"/>
      <c r="F213" s="598"/>
      <c r="G213" s="598"/>
      <c r="H213" s="598"/>
      <c r="I213" s="598"/>
      <c r="J213" s="598"/>
      <c r="K213" s="598"/>
      <c r="L213" s="612"/>
      <c r="M213" s="598"/>
      <c r="N213" s="598"/>
      <c r="O213" s="598"/>
      <c r="P213" s="598"/>
      <c r="Q213" s="598"/>
      <c r="R213" s="598"/>
      <c r="S213" s="598"/>
      <c r="T213" s="598"/>
      <c r="U213" s="598"/>
      <c r="V213" s="598"/>
      <c r="W213" s="598"/>
      <c r="X213" s="598"/>
      <c r="Y213" s="598"/>
    </row>
    <row r="214" spans="1:25" ht="12.75">
      <c r="A214" s="598"/>
      <c r="B214" s="598"/>
      <c r="C214" s="598"/>
      <c r="D214" s="598"/>
      <c r="E214" s="598"/>
      <c r="F214" s="598"/>
      <c r="G214" s="598"/>
      <c r="H214" s="598"/>
      <c r="I214" s="598"/>
      <c r="J214" s="598"/>
      <c r="K214" s="598"/>
      <c r="L214" s="612"/>
      <c r="M214" s="598"/>
      <c r="N214" s="598"/>
      <c r="O214" s="598"/>
      <c r="P214" s="598"/>
      <c r="Q214" s="598"/>
      <c r="R214" s="598"/>
      <c r="S214" s="598"/>
      <c r="T214" s="598"/>
      <c r="U214" s="598"/>
      <c r="V214" s="598"/>
      <c r="W214" s="598"/>
      <c r="X214" s="598"/>
      <c r="Y214" s="598"/>
    </row>
    <row r="215" spans="1:25" ht="12.75">
      <c r="A215" s="598"/>
      <c r="B215" s="598"/>
      <c r="C215" s="598"/>
      <c r="D215" s="598"/>
      <c r="E215" s="598"/>
      <c r="F215" s="598"/>
      <c r="G215" s="598"/>
      <c r="H215" s="598"/>
      <c r="I215" s="598"/>
      <c r="J215" s="598"/>
      <c r="K215" s="598"/>
      <c r="L215" s="612"/>
      <c r="M215" s="598"/>
      <c r="N215" s="598"/>
      <c r="O215" s="598"/>
      <c r="P215" s="598"/>
      <c r="Q215" s="598"/>
      <c r="R215" s="598"/>
      <c r="S215" s="598"/>
      <c r="T215" s="598"/>
      <c r="U215" s="598"/>
      <c r="V215" s="598"/>
      <c r="W215" s="598"/>
      <c r="X215" s="598"/>
      <c r="Y215" s="598"/>
    </row>
    <row r="216" spans="1:25" ht="12.75">
      <c r="A216" s="598"/>
      <c r="B216" s="598"/>
      <c r="C216" s="598"/>
      <c r="D216" s="598"/>
      <c r="E216" s="598"/>
      <c r="F216" s="598"/>
      <c r="G216" s="598"/>
      <c r="H216" s="598"/>
      <c r="I216" s="598"/>
      <c r="J216" s="598"/>
      <c r="K216" s="598"/>
      <c r="L216" s="612"/>
      <c r="M216" s="598"/>
      <c r="N216" s="598"/>
      <c r="O216" s="598"/>
      <c r="P216" s="598"/>
      <c r="Q216" s="598"/>
      <c r="R216" s="598"/>
      <c r="S216" s="598"/>
      <c r="T216" s="598"/>
      <c r="U216" s="598"/>
      <c r="V216" s="598"/>
      <c r="W216" s="598"/>
      <c r="X216" s="598"/>
      <c r="Y216" s="598"/>
    </row>
    <row r="217" spans="1:25" ht="12.75">
      <c r="A217" s="598"/>
      <c r="B217" s="598"/>
      <c r="C217" s="598"/>
      <c r="D217" s="598"/>
      <c r="E217" s="598"/>
      <c r="F217" s="598"/>
      <c r="G217" s="598"/>
      <c r="H217" s="598"/>
      <c r="I217" s="598"/>
      <c r="J217" s="598"/>
      <c r="K217" s="598"/>
      <c r="L217" s="612"/>
      <c r="M217" s="598"/>
      <c r="N217" s="598"/>
      <c r="O217" s="598"/>
      <c r="P217" s="598"/>
      <c r="Q217" s="598"/>
      <c r="R217" s="598"/>
      <c r="S217" s="598"/>
      <c r="T217" s="598"/>
      <c r="U217" s="598"/>
      <c r="V217" s="598"/>
      <c r="W217" s="598"/>
      <c r="X217" s="598"/>
      <c r="Y217" s="598"/>
    </row>
    <row r="218" spans="1:25" ht="12.75">
      <c r="A218" s="598"/>
      <c r="B218" s="598"/>
      <c r="C218" s="598"/>
      <c r="D218" s="598"/>
      <c r="E218" s="598"/>
      <c r="F218" s="598"/>
      <c r="G218" s="598"/>
      <c r="H218" s="598"/>
      <c r="I218" s="598"/>
      <c r="J218" s="598"/>
      <c r="K218" s="598"/>
      <c r="L218" s="612"/>
      <c r="M218" s="598"/>
      <c r="N218" s="598"/>
      <c r="O218" s="598"/>
      <c r="P218" s="598"/>
      <c r="Q218" s="598"/>
      <c r="R218" s="598"/>
      <c r="S218" s="598"/>
      <c r="T218" s="598"/>
      <c r="U218" s="598"/>
      <c r="V218" s="598"/>
      <c r="W218" s="598"/>
      <c r="X218" s="598"/>
      <c r="Y218" s="598"/>
    </row>
    <row r="219" spans="1:25" ht="12.75">
      <c r="A219" s="598"/>
      <c r="B219" s="598"/>
      <c r="C219" s="598"/>
      <c r="D219" s="598"/>
      <c r="E219" s="598"/>
      <c r="F219" s="598"/>
      <c r="G219" s="598"/>
      <c r="H219" s="598"/>
      <c r="I219" s="598"/>
      <c r="J219" s="598"/>
      <c r="K219" s="598"/>
      <c r="L219" s="612"/>
      <c r="M219" s="598"/>
      <c r="N219" s="598"/>
      <c r="O219" s="598"/>
      <c r="P219" s="598"/>
      <c r="Q219" s="598"/>
      <c r="R219" s="598"/>
      <c r="S219" s="598"/>
      <c r="T219" s="598"/>
      <c r="U219" s="598"/>
      <c r="V219" s="598"/>
      <c r="W219" s="598"/>
      <c r="X219" s="598"/>
      <c r="Y219" s="598"/>
    </row>
    <row r="220" spans="1:25" ht="12.75">
      <c r="A220" s="598"/>
      <c r="B220" s="598"/>
      <c r="C220" s="598"/>
      <c r="D220" s="598"/>
      <c r="E220" s="598"/>
      <c r="F220" s="598"/>
      <c r="G220" s="598"/>
      <c r="H220" s="598"/>
      <c r="I220" s="598"/>
      <c r="J220" s="598"/>
      <c r="K220" s="598"/>
      <c r="L220" s="612"/>
      <c r="M220" s="598"/>
      <c r="N220" s="598"/>
      <c r="O220" s="598"/>
      <c r="P220" s="598"/>
      <c r="Q220" s="598"/>
      <c r="R220" s="598"/>
      <c r="S220" s="598"/>
      <c r="T220" s="598"/>
      <c r="U220" s="598"/>
      <c r="V220" s="598"/>
      <c r="W220" s="598"/>
      <c r="X220" s="598"/>
      <c r="Y220" s="598"/>
    </row>
    <row r="221" spans="1:25" ht="12.75">
      <c r="A221" s="598"/>
      <c r="B221" s="598"/>
      <c r="C221" s="598"/>
      <c r="D221" s="598"/>
      <c r="E221" s="598"/>
      <c r="F221" s="598"/>
      <c r="G221" s="598"/>
      <c r="H221" s="598"/>
      <c r="I221" s="598"/>
      <c r="J221" s="598"/>
      <c r="K221" s="598"/>
      <c r="L221" s="612"/>
      <c r="M221" s="598"/>
      <c r="N221" s="598"/>
      <c r="O221" s="598"/>
      <c r="P221" s="598"/>
      <c r="Q221" s="598"/>
      <c r="R221" s="598"/>
      <c r="S221" s="598"/>
      <c r="T221" s="598"/>
      <c r="U221" s="598"/>
      <c r="V221" s="598"/>
      <c r="W221" s="598"/>
      <c r="X221" s="598"/>
      <c r="Y221" s="598"/>
    </row>
    <row r="222" spans="9:25" ht="12.75">
      <c r="I222" s="598"/>
      <c r="J222" s="598"/>
      <c r="K222" s="598"/>
      <c r="L222" s="612"/>
      <c r="M222" s="598"/>
      <c r="N222" s="598"/>
      <c r="O222" s="598"/>
      <c r="P222" s="598"/>
      <c r="Q222" s="598"/>
      <c r="R222" s="598"/>
      <c r="S222" s="598"/>
      <c r="T222" s="598"/>
      <c r="U222" s="598"/>
      <c r="V222" s="598"/>
      <c r="W222" s="598"/>
      <c r="X222" s="598"/>
      <c r="Y222" s="598"/>
    </row>
    <row r="223" spans="9:25" ht="12.75">
      <c r="I223" s="598"/>
      <c r="J223" s="598"/>
      <c r="K223" s="598"/>
      <c r="L223" s="612"/>
      <c r="M223" s="598"/>
      <c r="N223" s="598"/>
      <c r="O223" s="598"/>
      <c r="P223" s="598"/>
      <c r="Q223" s="598"/>
      <c r="R223" s="598"/>
      <c r="S223" s="598"/>
      <c r="T223" s="598"/>
      <c r="U223" s="598"/>
      <c r="V223" s="598"/>
      <c r="W223" s="598"/>
      <c r="X223" s="598"/>
      <c r="Y223" s="598"/>
    </row>
    <row r="224" spans="9:25" ht="12.75">
      <c r="I224" s="598"/>
      <c r="J224" s="598"/>
      <c r="K224" s="598"/>
      <c r="L224" s="612"/>
      <c r="M224" s="598"/>
      <c r="N224" s="598"/>
      <c r="O224" s="598"/>
      <c r="P224" s="598"/>
      <c r="Q224" s="598"/>
      <c r="R224" s="598"/>
      <c r="S224" s="598"/>
      <c r="T224" s="598"/>
      <c r="U224" s="598"/>
      <c r="V224" s="598"/>
      <c r="W224" s="598"/>
      <c r="X224" s="598"/>
      <c r="Y224" s="598"/>
    </row>
    <row r="225" spans="9:25" ht="12.75">
      <c r="I225" s="598"/>
      <c r="J225" s="598"/>
      <c r="K225" s="598"/>
      <c r="L225" s="612"/>
      <c r="M225" s="598"/>
      <c r="N225" s="598"/>
      <c r="O225" s="598"/>
      <c r="P225" s="598"/>
      <c r="Q225" s="598"/>
      <c r="R225" s="598"/>
      <c r="S225" s="598"/>
      <c r="T225" s="598"/>
      <c r="U225" s="598"/>
      <c r="V225" s="598"/>
      <c r="W225" s="598"/>
      <c r="X225" s="598"/>
      <c r="Y225" s="598"/>
    </row>
    <row r="226" spans="11:25" ht="12.75">
      <c r="K226" s="598"/>
      <c r="L226" s="612"/>
      <c r="M226" s="598"/>
      <c r="N226" s="598"/>
      <c r="O226" s="598"/>
      <c r="P226" s="598"/>
      <c r="Q226" s="598"/>
      <c r="R226" s="598"/>
      <c r="S226" s="598"/>
      <c r="T226" s="598"/>
      <c r="U226" s="598"/>
      <c r="V226" s="598"/>
      <c r="W226" s="598"/>
      <c r="X226" s="598"/>
      <c r="Y226" s="598"/>
    </row>
    <row r="227" spans="11:25" ht="12.75">
      <c r="K227" s="598"/>
      <c r="L227" s="612"/>
      <c r="M227" s="598"/>
      <c r="N227" s="598"/>
      <c r="O227" s="598"/>
      <c r="P227" s="598"/>
      <c r="Q227" s="598"/>
      <c r="R227" s="598"/>
      <c r="S227" s="598"/>
      <c r="T227" s="598"/>
      <c r="U227" s="598"/>
      <c r="V227" s="598"/>
      <c r="W227" s="598"/>
      <c r="X227" s="598"/>
      <c r="Y227" s="598"/>
    </row>
    <row r="228" spans="11:25" ht="12.75">
      <c r="K228" s="598"/>
      <c r="L228" s="612"/>
      <c r="M228" s="598"/>
      <c r="N228" s="598"/>
      <c r="O228" s="598"/>
      <c r="P228" s="598"/>
      <c r="Q228" s="598"/>
      <c r="R228" s="598"/>
      <c r="S228" s="598"/>
      <c r="T228" s="598"/>
      <c r="U228" s="598"/>
      <c r="V228" s="598"/>
      <c r="W228" s="598"/>
      <c r="X228" s="598"/>
      <c r="Y228" s="598"/>
    </row>
    <row r="229" spans="11:25" ht="12.75">
      <c r="K229" s="598"/>
      <c r="L229" s="612"/>
      <c r="M229" s="598"/>
      <c r="N229" s="598"/>
      <c r="O229" s="598"/>
      <c r="P229" s="598"/>
      <c r="Q229" s="598"/>
      <c r="R229" s="598"/>
      <c r="S229" s="598"/>
      <c r="T229" s="598"/>
      <c r="U229" s="598"/>
      <c r="V229" s="598"/>
      <c r="W229" s="598"/>
      <c r="X229" s="598"/>
      <c r="Y229" s="598"/>
    </row>
    <row r="230" spans="11:25" ht="12.75">
      <c r="K230" s="598"/>
      <c r="L230" s="612"/>
      <c r="M230" s="598"/>
      <c r="N230" s="598"/>
      <c r="O230" s="598"/>
      <c r="P230" s="598"/>
      <c r="Q230" s="598"/>
      <c r="R230" s="598"/>
      <c r="S230" s="598"/>
      <c r="T230" s="598"/>
      <c r="U230" s="598"/>
      <c r="V230" s="598"/>
      <c r="W230" s="598"/>
      <c r="X230" s="598"/>
      <c r="Y230" s="598"/>
    </row>
    <row r="231" spans="11:25" ht="12.75">
      <c r="K231" s="598"/>
      <c r="L231" s="612"/>
      <c r="M231" s="598"/>
      <c r="N231" s="598"/>
      <c r="O231" s="598"/>
      <c r="P231" s="598"/>
      <c r="Q231" s="598"/>
      <c r="R231" s="598"/>
      <c r="S231" s="598"/>
      <c r="T231" s="598"/>
      <c r="U231" s="598"/>
      <c r="V231" s="598"/>
      <c r="W231" s="598"/>
      <c r="X231" s="598"/>
      <c r="Y231" s="598"/>
    </row>
    <row r="232" spans="11:25" ht="12.75">
      <c r="K232" s="598"/>
      <c r="L232" s="612"/>
      <c r="M232" s="598"/>
      <c r="N232" s="598"/>
      <c r="O232" s="598"/>
      <c r="P232" s="598"/>
      <c r="Q232" s="598"/>
      <c r="R232" s="598"/>
      <c r="S232" s="598"/>
      <c r="T232" s="598"/>
      <c r="U232" s="598"/>
      <c r="V232" s="598"/>
      <c r="W232" s="598"/>
      <c r="X232" s="598"/>
      <c r="Y232" s="598"/>
    </row>
    <row r="233" spans="11:25" ht="12.75">
      <c r="K233" s="598"/>
      <c r="L233" s="612"/>
      <c r="M233" s="598"/>
      <c r="N233" s="598"/>
      <c r="O233" s="598"/>
      <c r="P233" s="598"/>
      <c r="Q233" s="598"/>
      <c r="R233" s="598"/>
      <c r="S233" s="598"/>
      <c r="T233" s="598"/>
      <c r="U233" s="598"/>
      <c r="V233" s="598"/>
      <c r="W233" s="598"/>
      <c r="X233" s="598"/>
      <c r="Y233" s="598"/>
    </row>
    <row r="234" spans="11:25" ht="12.75">
      <c r="K234" s="598"/>
      <c r="L234" s="612"/>
      <c r="M234" s="598"/>
      <c r="N234" s="598"/>
      <c r="O234" s="598"/>
      <c r="P234" s="598"/>
      <c r="Q234" s="598"/>
      <c r="R234" s="598"/>
      <c r="S234" s="598"/>
      <c r="T234" s="598"/>
      <c r="U234" s="598"/>
      <c r="V234" s="598"/>
      <c r="W234" s="598"/>
      <c r="X234" s="598"/>
      <c r="Y234" s="598"/>
    </row>
    <row r="235" spans="11:25" ht="12.75">
      <c r="K235" s="598"/>
      <c r="L235" s="612"/>
      <c r="M235" s="598"/>
      <c r="N235" s="598"/>
      <c r="O235" s="598"/>
      <c r="P235" s="598"/>
      <c r="Q235" s="598"/>
      <c r="R235" s="598"/>
      <c r="S235" s="598"/>
      <c r="T235" s="598"/>
      <c r="U235" s="598"/>
      <c r="V235" s="598"/>
      <c r="W235" s="598"/>
      <c r="X235" s="598"/>
      <c r="Y235" s="598"/>
    </row>
  </sheetData>
  <sheetProtection password="F30F" sheet="1"/>
  <mergeCells count="245">
    <mergeCell ref="G114:H114"/>
    <mergeCell ref="G115:H115"/>
    <mergeCell ref="G116:H116"/>
    <mergeCell ref="G117:H117"/>
    <mergeCell ref="G3:H3"/>
    <mergeCell ref="B35:H35"/>
    <mergeCell ref="G91:H91"/>
    <mergeCell ref="G44:H44"/>
    <mergeCell ref="G45:H45"/>
    <mergeCell ref="G30:H30"/>
    <mergeCell ref="AB147:AC147"/>
    <mergeCell ref="AB136:AC136"/>
    <mergeCell ref="K138:K146"/>
    <mergeCell ref="AG139:AH139"/>
    <mergeCell ref="L141:M141"/>
    <mergeCell ref="L142:M142"/>
    <mergeCell ref="L143:M143"/>
    <mergeCell ref="Z145:AA145"/>
    <mergeCell ref="AG145:AH145"/>
    <mergeCell ref="S146:T146"/>
    <mergeCell ref="AB125:AC125"/>
    <mergeCell ref="K127:K135"/>
    <mergeCell ref="AG128:AH128"/>
    <mergeCell ref="L130:M130"/>
    <mergeCell ref="L131:M131"/>
    <mergeCell ref="L132:M132"/>
    <mergeCell ref="Z134:AA134"/>
    <mergeCell ref="AG134:AH134"/>
    <mergeCell ref="S135:T135"/>
    <mergeCell ref="L133:M133"/>
    <mergeCell ref="AB114:AC114"/>
    <mergeCell ref="K116:K124"/>
    <mergeCell ref="AG117:AH117"/>
    <mergeCell ref="L119:M119"/>
    <mergeCell ref="L120:M120"/>
    <mergeCell ref="L121:M121"/>
    <mergeCell ref="Z123:AA123"/>
    <mergeCell ref="AG123:AH123"/>
    <mergeCell ref="S124:T124"/>
    <mergeCell ref="L122:M122"/>
    <mergeCell ref="AB103:AC103"/>
    <mergeCell ref="K105:K113"/>
    <mergeCell ref="AG106:AH106"/>
    <mergeCell ref="L108:M108"/>
    <mergeCell ref="L109:M109"/>
    <mergeCell ref="L110:M110"/>
    <mergeCell ref="Z112:AA112"/>
    <mergeCell ref="AG112:AH112"/>
    <mergeCell ref="S113:T113"/>
    <mergeCell ref="L111:M111"/>
    <mergeCell ref="AB92:AC92"/>
    <mergeCell ref="K94:K102"/>
    <mergeCell ref="AG95:AH95"/>
    <mergeCell ref="L97:M97"/>
    <mergeCell ref="L98:M98"/>
    <mergeCell ref="L99:M99"/>
    <mergeCell ref="Z101:AA101"/>
    <mergeCell ref="AG101:AH101"/>
    <mergeCell ref="S102:T102"/>
    <mergeCell ref="AB81:AC81"/>
    <mergeCell ref="K83:K91"/>
    <mergeCell ref="AG84:AH84"/>
    <mergeCell ref="L86:M86"/>
    <mergeCell ref="L87:M87"/>
    <mergeCell ref="L88:M88"/>
    <mergeCell ref="Z90:AA90"/>
    <mergeCell ref="AG90:AH90"/>
    <mergeCell ref="S91:T91"/>
    <mergeCell ref="AB70:AC70"/>
    <mergeCell ref="K72:K80"/>
    <mergeCell ref="AG73:AH73"/>
    <mergeCell ref="L75:M75"/>
    <mergeCell ref="L76:M76"/>
    <mergeCell ref="L77:M77"/>
    <mergeCell ref="Z79:AA79"/>
    <mergeCell ref="AG79:AH79"/>
    <mergeCell ref="S80:T80"/>
    <mergeCell ref="AB59:AC59"/>
    <mergeCell ref="K61:K69"/>
    <mergeCell ref="AG62:AH62"/>
    <mergeCell ref="L64:M64"/>
    <mergeCell ref="L65:M65"/>
    <mergeCell ref="L66:M66"/>
    <mergeCell ref="Z68:AA68"/>
    <mergeCell ref="AG68:AH68"/>
    <mergeCell ref="S69:T69"/>
    <mergeCell ref="AB48:AC48"/>
    <mergeCell ref="K50:K58"/>
    <mergeCell ref="AG51:AH51"/>
    <mergeCell ref="L53:M53"/>
    <mergeCell ref="L54:M54"/>
    <mergeCell ref="L55:M55"/>
    <mergeCell ref="Z57:AA57"/>
    <mergeCell ref="AG57:AH57"/>
    <mergeCell ref="S58:T58"/>
    <mergeCell ref="S14:T14"/>
    <mergeCell ref="AB26:AC26"/>
    <mergeCell ref="K39:K47"/>
    <mergeCell ref="AG40:AH40"/>
    <mergeCell ref="L42:M42"/>
    <mergeCell ref="L43:M43"/>
    <mergeCell ref="L44:M44"/>
    <mergeCell ref="Z46:AA46"/>
    <mergeCell ref="AG46:AH46"/>
    <mergeCell ref="S47:T47"/>
    <mergeCell ref="K17:K25"/>
    <mergeCell ref="AG18:AH18"/>
    <mergeCell ref="L20:M20"/>
    <mergeCell ref="L21:M21"/>
    <mergeCell ref="L22:M22"/>
    <mergeCell ref="Z24:AA24"/>
    <mergeCell ref="AG24:AH24"/>
    <mergeCell ref="S25:T25"/>
    <mergeCell ref="AG13:AH13"/>
    <mergeCell ref="Z13:AA13"/>
    <mergeCell ref="AG7:AH7"/>
    <mergeCell ref="G57:H57"/>
    <mergeCell ref="G42:H42"/>
    <mergeCell ref="G53:H53"/>
    <mergeCell ref="G43:H43"/>
    <mergeCell ref="G56:H56"/>
    <mergeCell ref="G33:H33"/>
    <mergeCell ref="AB15:AC15"/>
    <mergeCell ref="G31:H31"/>
    <mergeCell ref="G36:H36"/>
    <mergeCell ref="G41:H41"/>
    <mergeCell ref="B34:H34"/>
    <mergeCell ref="G38:H38"/>
    <mergeCell ref="G37:H37"/>
    <mergeCell ref="G101:H101"/>
    <mergeCell ref="G93:H93"/>
    <mergeCell ref="B95:H95"/>
    <mergeCell ref="G96:H96"/>
    <mergeCell ref="G80:H80"/>
    <mergeCell ref="G92:H92"/>
    <mergeCell ref="G86:H86"/>
    <mergeCell ref="G87:H87"/>
    <mergeCell ref="G82:H82"/>
    <mergeCell ref="G83:H83"/>
    <mergeCell ref="L10:M10"/>
    <mergeCell ref="G78:H78"/>
    <mergeCell ref="G75:H75"/>
    <mergeCell ref="L11:M11"/>
    <mergeCell ref="G51:H51"/>
    <mergeCell ref="G50:H50"/>
    <mergeCell ref="G27:H27"/>
    <mergeCell ref="G48:H48"/>
    <mergeCell ref="K6:K14"/>
    <mergeCell ref="L9:M9"/>
    <mergeCell ref="G77:H77"/>
    <mergeCell ref="G71:H71"/>
    <mergeCell ref="G72:H72"/>
    <mergeCell ref="G73:H73"/>
    <mergeCell ref="G49:H49"/>
    <mergeCell ref="G10:H10"/>
    <mergeCell ref="G20:H20"/>
    <mergeCell ref="G67:H67"/>
    <mergeCell ref="G68:H68"/>
    <mergeCell ref="G8:H8"/>
    <mergeCell ref="G13:H13"/>
    <mergeCell ref="G25:H25"/>
    <mergeCell ref="B16:H16"/>
    <mergeCell ref="G17:H17"/>
    <mergeCell ref="G18:H18"/>
    <mergeCell ref="G19:H19"/>
    <mergeCell ref="G21:H21"/>
    <mergeCell ref="G22:H22"/>
    <mergeCell ref="G14:H14"/>
    <mergeCell ref="G70:H70"/>
    <mergeCell ref="G39:H39"/>
    <mergeCell ref="G32:H32"/>
    <mergeCell ref="G29:H29"/>
    <mergeCell ref="G55:H55"/>
    <mergeCell ref="G54:H54"/>
    <mergeCell ref="G40:H40"/>
    <mergeCell ref="G28:H28"/>
    <mergeCell ref="G52:H52"/>
    <mergeCell ref="G6:H6"/>
    <mergeCell ref="G23:H23"/>
    <mergeCell ref="G11:H11"/>
    <mergeCell ref="G7:H7"/>
    <mergeCell ref="G12:H12"/>
    <mergeCell ref="G46:H46"/>
    <mergeCell ref="G47:H47"/>
    <mergeCell ref="G9:H9"/>
    <mergeCell ref="G15:H15"/>
    <mergeCell ref="G100:H100"/>
    <mergeCell ref="G98:H98"/>
    <mergeCell ref="G58:H58"/>
    <mergeCell ref="G74:H74"/>
    <mergeCell ref="G69:H69"/>
    <mergeCell ref="G26:H26"/>
    <mergeCell ref="G89:H89"/>
    <mergeCell ref="G99:H99"/>
    <mergeCell ref="G79:H79"/>
    <mergeCell ref="G102:H102"/>
    <mergeCell ref="G103:H103"/>
    <mergeCell ref="G5:H5"/>
    <mergeCell ref="G4:H4"/>
    <mergeCell ref="G76:H76"/>
    <mergeCell ref="G94:H94"/>
    <mergeCell ref="G90:H90"/>
    <mergeCell ref="G81:H81"/>
    <mergeCell ref="G84:H84"/>
    <mergeCell ref="G85:H85"/>
    <mergeCell ref="G65:H65"/>
    <mergeCell ref="G66:H66"/>
    <mergeCell ref="G59:H59"/>
    <mergeCell ref="G60:H60"/>
    <mergeCell ref="G61:H61"/>
    <mergeCell ref="G62:H62"/>
    <mergeCell ref="G63:H63"/>
    <mergeCell ref="G64:H64"/>
    <mergeCell ref="L144:M144"/>
    <mergeCell ref="L12:M12"/>
    <mergeCell ref="L23:M23"/>
    <mergeCell ref="L45:M45"/>
    <mergeCell ref="L56:M56"/>
    <mergeCell ref="L67:M67"/>
    <mergeCell ref="L78:M78"/>
    <mergeCell ref="L89:M89"/>
    <mergeCell ref="L100:M100"/>
    <mergeCell ref="AB37:AC37"/>
    <mergeCell ref="K28:K36"/>
    <mergeCell ref="AG29:AH29"/>
    <mergeCell ref="L31:M31"/>
    <mergeCell ref="L32:M32"/>
    <mergeCell ref="L33:M33"/>
    <mergeCell ref="L34:M34"/>
    <mergeCell ref="Z35:AA35"/>
    <mergeCell ref="AG35:AH35"/>
    <mergeCell ref="S36:T36"/>
    <mergeCell ref="G111:H111"/>
    <mergeCell ref="G112:H112"/>
    <mergeCell ref="G113:H113"/>
    <mergeCell ref="G105:H105"/>
    <mergeCell ref="G106:H106"/>
    <mergeCell ref="G107:H107"/>
    <mergeCell ref="G108:H108"/>
    <mergeCell ref="G109:H109"/>
    <mergeCell ref="G110:H110"/>
  </mergeCells>
  <printOptions/>
  <pageMargins left="0.7" right="0.7" top="0.787401575" bottom="0.7874015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B2:K29"/>
  <sheetViews>
    <sheetView zoomScalePageLayoutView="0" workbookViewId="0" topLeftCell="A1">
      <selection activeCell="A1" sqref="A1"/>
    </sheetView>
  </sheetViews>
  <sheetFormatPr defaultColWidth="11.421875" defaultRowHeight="12.75"/>
  <cols>
    <col min="1" max="1" width="2.7109375" style="0" customWidth="1"/>
    <col min="2" max="11" width="10.7109375" style="0" customWidth="1"/>
  </cols>
  <sheetData>
    <row r="2" spans="2:3" ht="18">
      <c r="B2" s="264" t="s">
        <v>257</v>
      </c>
      <c r="C2" s="264"/>
    </row>
    <row r="3" ht="12.75">
      <c r="K3" s="459"/>
    </row>
    <row r="4" spans="2:10" ht="12.75">
      <c r="B4" s="321" t="s">
        <v>262</v>
      </c>
      <c r="C4" s="322"/>
      <c r="D4" s="1419">
        <f>ZRB!G23</f>
        <v>0</v>
      </c>
      <c r="E4" s="1420"/>
      <c r="F4" s="299"/>
      <c r="G4" s="299"/>
      <c r="H4" s="299"/>
      <c r="I4" s="299"/>
      <c r="J4" s="299"/>
    </row>
    <row r="5" spans="2:10" ht="12.75">
      <c r="B5" s="323" t="s">
        <v>0</v>
      </c>
      <c r="C5" s="324"/>
      <c r="D5" s="1421" t="str">
        <f>ZRB!G11</f>
        <v>Stuttgart</v>
      </c>
      <c r="E5" s="1422"/>
      <c r="F5" s="300"/>
      <c r="G5" s="300"/>
      <c r="H5" s="300"/>
      <c r="I5" s="300"/>
      <c r="J5" s="300"/>
    </row>
    <row r="6" spans="2:10" ht="12.75">
      <c r="B6" s="325" t="s">
        <v>112</v>
      </c>
      <c r="C6" s="326"/>
      <c r="D6" s="1423">
        <f>ZRB!G6</f>
        <v>0</v>
      </c>
      <c r="E6" s="1424"/>
      <c r="F6" s="301"/>
      <c r="G6" s="301"/>
      <c r="H6" s="301"/>
      <c r="I6" s="301"/>
      <c r="J6" s="301"/>
    </row>
    <row r="7" spans="6:10" ht="12.75">
      <c r="F7" s="1"/>
      <c r="G7" s="1"/>
      <c r="H7" s="1" t="s">
        <v>270</v>
      </c>
      <c r="I7" s="1"/>
      <c r="J7" s="1"/>
    </row>
    <row r="8" spans="4:11" ht="12.75">
      <c r="D8" s="302" t="s">
        <v>265</v>
      </c>
      <c r="E8" s="304" t="s">
        <v>265</v>
      </c>
      <c r="F8" s="297" t="s">
        <v>271</v>
      </c>
      <c r="G8" s="307" t="s">
        <v>272</v>
      </c>
      <c r="H8" s="330" t="s">
        <v>258</v>
      </c>
      <c r="I8" s="331" t="s">
        <v>259</v>
      </c>
      <c r="J8" s="331" t="s">
        <v>260</v>
      </c>
      <c r="K8" s="332" t="s">
        <v>258</v>
      </c>
    </row>
    <row r="9" spans="2:11" ht="12.75">
      <c r="B9" s="1" t="s">
        <v>0</v>
      </c>
      <c r="C9" s="1" t="s">
        <v>263</v>
      </c>
      <c r="D9" s="285" t="s">
        <v>266</v>
      </c>
      <c r="E9" s="305" t="s">
        <v>205</v>
      </c>
      <c r="F9" s="297"/>
      <c r="G9" s="307"/>
      <c r="H9" s="333" t="s">
        <v>256</v>
      </c>
      <c r="I9" s="334"/>
      <c r="J9" s="334"/>
      <c r="K9" s="335" t="s">
        <v>261</v>
      </c>
    </row>
    <row r="10" spans="2:11" ht="12.75">
      <c r="B10" s="286">
        <f>Einstrahlung!K10/100</f>
        <v>0.02560817492782065</v>
      </c>
      <c r="C10" s="287">
        <v>31</v>
      </c>
      <c r="D10" s="303">
        <f aca="true" t="shared" si="0" ref="D10:D21">IF($D$6&lt;=0,0,(B10*$D$4)/(C10*$D$6))</f>
        <v>0</v>
      </c>
      <c r="E10" s="306">
        <f>D10*$D$6</f>
        <v>0</v>
      </c>
      <c r="F10" s="298">
        <f aca="true" t="shared" si="1" ref="F10:F21">IF(I10*$D$6&gt;10000,ROUNDUP(I10*$D$6,-3),IF(I10*$D$6&gt;1000,ROUNDUP(I10*$D$6,-2),IF(I10*$D$6&gt;100,ROUNDUP(I10*$D$6,-1),IF(I10*$D$6&gt;10,ROUNDUP(I10*$D$6,0),ROUNDUP(I10*$D$6,1)))))</f>
        <v>0</v>
      </c>
      <c r="G10" s="329">
        <f aca="true" t="shared" si="2" ref="G10:G21">IF(J10*$D$6&gt;10000,ROUNDUP(J10*$D$6,-3),IF(J10*$D$6&gt;1000,ROUNDUP(J10*$D$6,-2),IF(J10*$D$6&gt;100,ROUNDUP(J10*$D$6,-1),IF(J10*$D$6&gt;10,ROUNDUP(J10*$D$6,0),ROUNDUP(J10*$D$6,1)))))</f>
        <v>0</v>
      </c>
      <c r="H10" s="336">
        <f aca="true" t="shared" si="3" ref="H10:H21">D10</f>
        <v>0</v>
      </c>
      <c r="I10" s="340">
        <f>H10*0</f>
        <v>0</v>
      </c>
      <c r="J10" s="340">
        <f>H10*2.5</f>
        <v>0</v>
      </c>
      <c r="K10" s="337">
        <f>H10</f>
        <v>0</v>
      </c>
    </row>
    <row r="11" spans="2:11" ht="12.75">
      <c r="B11" s="286">
        <f>Einstrahlung!K12/100</f>
        <v>0.04164913642643678</v>
      </c>
      <c r="C11" s="287">
        <v>28</v>
      </c>
      <c r="D11" s="303">
        <f t="shared" si="0"/>
        <v>0</v>
      </c>
      <c r="E11" s="306">
        <f aca="true" t="shared" si="4" ref="E11:E21">D11*$D$6</f>
        <v>0</v>
      </c>
      <c r="F11" s="298">
        <f t="shared" si="1"/>
        <v>0</v>
      </c>
      <c r="G11" s="329">
        <f t="shared" si="2"/>
        <v>0</v>
      </c>
      <c r="H11" s="336">
        <f t="shared" si="3"/>
        <v>0</v>
      </c>
      <c r="I11" s="340">
        <f>H11*0</f>
        <v>0</v>
      </c>
      <c r="J11" s="340">
        <f>H11*2.25</f>
        <v>0</v>
      </c>
      <c r="K11" s="337">
        <f aca="true" t="shared" si="5" ref="K11:K20">H11</f>
        <v>0</v>
      </c>
    </row>
    <row r="12" spans="2:11" ht="12.75">
      <c r="B12" s="286">
        <f>Einstrahlung!K14/100</f>
        <v>0.07202825105656455</v>
      </c>
      <c r="C12" s="287">
        <v>31</v>
      </c>
      <c r="D12" s="303">
        <f t="shared" si="0"/>
        <v>0</v>
      </c>
      <c r="E12" s="306">
        <f t="shared" si="4"/>
        <v>0</v>
      </c>
      <c r="F12" s="298">
        <f t="shared" si="1"/>
        <v>0</v>
      </c>
      <c r="G12" s="329">
        <f t="shared" si="2"/>
        <v>0</v>
      </c>
      <c r="H12" s="336">
        <f t="shared" si="3"/>
        <v>0</v>
      </c>
      <c r="I12" s="340">
        <f>H12*0.2</f>
        <v>0</v>
      </c>
      <c r="J12" s="340">
        <f>H12*2</f>
        <v>0</v>
      </c>
      <c r="K12" s="337">
        <f t="shared" si="5"/>
        <v>0</v>
      </c>
    </row>
    <row r="13" spans="2:11" ht="12.75">
      <c r="B13" s="286">
        <f>Einstrahlung!K16/100</f>
        <v>0.10607718010591433</v>
      </c>
      <c r="C13" s="287">
        <v>30</v>
      </c>
      <c r="D13" s="303">
        <f t="shared" si="0"/>
        <v>0</v>
      </c>
      <c r="E13" s="306">
        <f t="shared" si="4"/>
        <v>0</v>
      </c>
      <c r="F13" s="298">
        <f t="shared" si="1"/>
        <v>0</v>
      </c>
      <c r="G13" s="329">
        <f t="shared" si="2"/>
        <v>0</v>
      </c>
      <c r="H13" s="336">
        <f t="shared" si="3"/>
        <v>0</v>
      </c>
      <c r="I13" s="340">
        <f>H13*0.25</f>
        <v>0</v>
      </c>
      <c r="J13" s="340">
        <f>H13*1.8</f>
        <v>0</v>
      </c>
      <c r="K13" s="337">
        <f t="shared" si="5"/>
        <v>0</v>
      </c>
    </row>
    <row r="14" spans="2:11" ht="12.75">
      <c r="B14" s="286">
        <f>Einstrahlung!K18/100</f>
        <v>0.13841877685519705</v>
      </c>
      <c r="C14" s="287">
        <v>31</v>
      </c>
      <c r="D14" s="303">
        <f t="shared" si="0"/>
        <v>0</v>
      </c>
      <c r="E14" s="306">
        <f t="shared" si="4"/>
        <v>0</v>
      </c>
      <c r="F14" s="298">
        <f t="shared" si="1"/>
        <v>0</v>
      </c>
      <c r="G14" s="329">
        <f t="shared" si="2"/>
        <v>0</v>
      </c>
      <c r="H14" s="336">
        <f t="shared" si="3"/>
        <v>0</v>
      </c>
      <c r="I14" s="340">
        <f>H14*0.3</f>
        <v>0</v>
      </c>
      <c r="J14" s="340">
        <f>H14*1.6</f>
        <v>0</v>
      </c>
      <c r="K14" s="337">
        <f t="shared" si="5"/>
        <v>0</v>
      </c>
    </row>
    <row r="15" spans="2:11" ht="12.75">
      <c r="B15" s="286">
        <f>Einstrahlung!K20/100</f>
        <v>0.14263960630925787</v>
      </c>
      <c r="C15" s="287">
        <v>30</v>
      </c>
      <c r="D15" s="303">
        <f t="shared" si="0"/>
        <v>0</v>
      </c>
      <c r="E15" s="306">
        <f t="shared" si="4"/>
        <v>0</v>
      </c>
      <c r="F15" s="298">
        <f t="shared" si="1"/>
        <v>0</v>
      </c>
      <c r="G15" s="329">
        <f t="shared" si="2"/>
        <v>0</v>
      </c>
      <c r="H15" s="336">
        <f t="shared" si="3"/>
        <v>0</v>
      </c>
      <c r="I15" s="340">
        <f>H15*0.3</f>
        <v>0</v>
      </c>
      <c r="J15" s="340">
        <f>H15*1.55</f>
        <v>0</v>
      </c>
      <c r="K15" s="337">
        <f t="shared" si="5"/>
        <v>0</v>
      </c>
    </row>
    <row r="16" spans="2:11" ht="12.75">
      <c r="B16" s="286">
        <f>Einstrahlung!K22/100</f>
        <v>0.15076006597703834</v>
      </c>
      <c r="C16" s="287">
        <v>31</v>
      </c>
      <c r="D16" s="303">
        <f t="shared" si="0"/>
        <v>0</v>
      </c>
      <c r="E16" s="306">
        <f t="shared" si="4"/>
        <v>0</v>
      </c>
      <c r="F16" s="298">
        <f t="shared" si="1"/>
        <v>0</v>
      </c>
      <c r="G16" s="329">
        <f t="shared" si="2"/>
        <v>0</v>
      </c>
      <c r="H16" s="336">
        <f t="shared" si="3"/>
        <v>0</v>
      </c>
      <c r="I16" s="340">
        <f>H16*0.3</f>
        <v>0</v>
      </c>
      <c r="J16" s="340">
        <f>H16*1.5</f>
        <v>0</v>
      </c>
      <c r="K16" s="337">
        <f t="shared" si="5"/>
        <v>0</v>
      </c>
    </row>
    <row r="17" spans="2:11" ht="12.75">
      <c r="B17" s="286">
        <f>Einstrahlung!K24/100</f>
        <v>0.13149082591634526</v>
      </c>
      <c r="C17" s="287">
        <v>31</v>
      </c>
      <c r="D17" s="303">
        <f t="shared" si="0"/>
        <v>0</v>
      </c>
      <c r="E17" s="306">
        <f t="shared" si="4"/>
        <v>0</v>
      </c>
      <c r="F17" s="298">
        <f t="shared" si="1"/>
        <v>0</v>
      </c>
      <c r="G17" s="329">
        <f t="shared" si="2"/>
        <v>0</v>
      </c>
      <c r="H17" s="336">
        <f t="shared" si="3"/>
        <v>0</v>
      </c>
      <c r="I17" s="340">
        <f>H17*0.3</f>
        <v>0</v>
      </c>
      <c r="J17" s="340">
        <f>H17*1.6</f>
        <v>0</v>
      </c>
      <c r="K17" s="337">
        <f t="shared" si="5"/>
        <v>0</v>
      </c>
    </row>
    <row r="18" spans="2:11" ht="12.75">
      <c r="B18" s="286">
        <f>Einstrahlung!K26/100</f>
        <v>0.08919386228967104</v>
      </c>
      <c r="C18" s="287">
        <v>30</v>
      </c>
      <c r="D18" s="303">
        <f t="shared" si="0"/>
        <v>0</v>
      </c>
      <c r="E18" s="306">
        <f t="shared" si="4"/>
        <v>0</v>
      </c>
      <c r="F18" s="298">
        <f t="shared" si="1"/>
        <v>0</v>
      </c>
      <c r="G18" s="329">
        <f t="shared" si="2"/>
        <v>0</v>
      </c>
      <c r="H18" s="336">
        <f t="shared" si="3"/>
        <v>0</v>
      </c>
      <c r="I18" s="340">
        <f>H18*0.25</f>
        <v>0</v>
      </c>
      <c r="J18" s="340">
        <f>H18*1.8</f>
        <v>0</v>
      </c>
      <c r="K18" s="337">
        <f t="shared" si="5"/>
        <v>0</v>
      </c>
    </row>
    <row r="19" spans="2:11" ht="12.75">
      <c r="B19" s="286">
        <f>Einstrahlung!K28/100</f>
        <v>0.05351631737380263</v>
      </c>
      <c r="C19" s="287">
        <v>31</v>
      </c>
      <c r="D19" s="303">
        <f t="shared" si="0"/>
        <v>0</v>
      </c>
      <c r="E19" s="306">
        <f t="shared" si="4"/>
        <v>0</v>
      </c>
      <c r="F19" s="298">
        <f t="shared" si="1"/>
        <v>0</v>
      </c>
      <c r="G19" s="329">
        <f t="shared" si="2"/>
        <v>0</v>
      </c>
      <c r="H19" s="336">
        <f t="shared" si="3"/>
        <v>0</v>
      </c>
      <c r="I19" s="340">
        <f>H19*0.2</f>
        <v>0</v>
      </c>
      <c r="J19" s="340">
        <f>H19*2</f>
        <v>0</v>
      </c>
      <c r="K19" s="337">
        <f t="shared" si="5"/>
        <v>0</v>
      </c>
    </row>
    <row r="20" spans="2:11" ht="12.75">
      <c r="B20" s="286">
        <f>Einstrahlung!K30/100</f>
        <v>0.029152224010683722</v>
      </c>
      <c r="C20" s="287">
        <v>30</v>
      </c>
      <c r="D20" s="303">
        <f t="shared" si="0"/>
        <v>0</v>
      </c>
      <c r="E20" s="306">
        <f t="shared" si="4"/>
        <v>0</v>
      </c>
      <c r="F20" s="298">
        <f t="shared" si="1"/>
        <v>0</v>
      </c>
      <c r="G20" s="329">
        <f t="shared" si="2"/>
        <v>0</v>
      </c>
      <c r="H20" s="336">
        <f t="shared" si="3"/>
        <v>0</v>
      </c>
      <c r="I20" s="340">
        <f>H20*0</f>
        <v>0</v>
      </c>
      <c r="J20" s="340">
        <f>H20*2.25</f>
        <v>0</v>
      </c>
      <c r="K20" s="337">
        <f t="shared" si="5"/>
        <v>0</v>
      </c>
    </row>
    <row r="21" spans="2:11" ht="12.75">
      <c r="B21" s="286">
        <f>Einstrahlung!K32/100</f>
        <v>0.019465578751267833</v>
      </c>
      <c r="C21" s="287">
        <v>31</v>
      </c>
      <c r="D21" s="303">
        <f t="shared" si="0"/>
        <v>0</v>
      </c>
      <c r="E21" s="306">
        <f t="shared" si="4"/>
        <v>0</v>
      </c>
      <c r="F21" s="298">
        <f t="shared" si="1"/>
        <v>0</v>
      </c>
      <c r="G21" s="329">
        <f t="shared" si="2"/>
        <v>0</v>
      </c>
      <c r="H21" s="338">
        <f t="shared" si="3"/>
        <v>0</v>
      </c>
      <c r="I21" s="341">
        <f>H21*0</f>
        <v>0</v>
      </c>
      <c r="J21" s="341">
        <f>H21*2.5</f>
        <v>0</v>
      </c>
      <c r="K21" s="339">
        <f>H21</f>
        <v>0</v>
      </c>
    </row>
    <row r="22" spans="4:10" ht="12.75">
      <c r="D22" s="288">
        <f>MAX(D10:D21)</f>
        <v>0</v>
      </c>
      <c r="E22" s="288"/>
      <c r="F22" s="289"/>
      <c r="G22" s="289"/>
      <c r="H22" s="289"/>
      <c r="I22" s="289"/>
      <c r="J22" s="289"/>
    </row>
    <row r="23" spans="3:10" ht="12.75">
      <c r="C23" s="290" t="s">
        <v>264</v>
      </c>
      <c r="D23" s="291">
        <f>IF(D22&gt;10000,ROUNDUP(D22,-4),IF(D22&gt;1000,ROUNDUP(D22,-3),IF(D22&gt;100,ROUNDUP(D22,-2),ROUNDUP(D22,-1))))</f>
        <v>0</v>
      </c>
      <c r="E23" s="291"/>
      <c r="F23" s="288"/>
      <c r="G23" s="288"/>
      <c r="H23" s="288"/>
      <c r="I23" s="288"/>
      <c r="J23" s="288"/>
    </row>
    <row r="24" spans="3:10" ht="12.75">
      <c r="C24" s="292"/>
      <c r="D24" s="294">
        <f>($D$23/5)*4</f>
        <v>0</v>
      </c>
      <c r="E24" s="294">
        <f>IF($D$6&lt;=0,0,D24*$D$6)</f>
        <v>0</v>
      </c>
      <c r="F24" s="288"/>
      <c r="G24" s="288"/>
      <c r="H24" s="288"/>
      <c r="I24" s="288"/>
      <c r="J24" s="288"/>
    </row>
    <row r="25" spans="3:10" ht="12.75">
      <c r="C25" s="292"/>
      <c r="D25" s="294">
        <f>($D$23/5)*3</f>
        <v>0</v>
      </c>
      <c r="E25" s="294">
        <f>IF($D$6&lt;=0,0,D25*$D$6)</f>
        <v>0</v>
      </c>
      <c r="F25" s="288"/>
      <c r="G25" s="288"/>
      <c r="H25" s="288"/>
      <c r="I25" s="288"/>
      <c r="J25" s="288"/>
    </row>
    <row r="26" spans="3:10" ht="12.75">
      <c r="C26" s="292"/>
      <c r="D26" s="294">
        <f>($D$23/5)*2</f>
        <v>0</v>
      </c>
      <c r="E26" s="294">
        <f>IF($D$6&lt;=0,0,D26*$D$6)</f>
        <v>0</v>
      </c>
      <c r="F26" s="288"/>
      <c r="G26" s="288"/>
      <c r="H26" s="288"/>
      <c r="I26" s="288"/>
      <c r="J26" s="288"/>
    </row>
    <row r="27" spans="3:10" ht="12.75">
      <c r="C27" s="293"/>
      <c r="D27" s="295">
        <f>($D$23/5)*1</f>
        <v>0</v>
      </c>
      <c r="E27" s="295">
        <f>IF($D$6&lt;=0,0,D27*$D$6)</f>
        <v>0</v>
      </c>
      <c r="F27" s="288"/>
      <c r="G27" s="288"/>
      <c r="H27" s="288"/>
      <c r="I27" s="288"/>
      <c r="J27" s="288"/>
    </row>
    <row r="28" spans="4:5" ht="12.75">
      <c r="D28" s="288"/>
      <c r="E28" s="288"/>
    </row>
    <row r="29" spans="4:5" ht="12.75">
      <c r="D29" s="288"/>
      <c r="E29" s="288"/>
    </row>
  </sheetData>
  <sheetProtection password="F30F" sheet="1"/>
  <mergeCells count="3">
    <mergeCell ref="D4:E4"/>
    <mergeCell ref="D5:E5"/>
    <mergeCell ref="D6:E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38"/>
  <sheetViews>
    <sheetView zoomScalePageLayoutView="0" workbookViewId="0" topLeftCell="A1">
      <selection activeCell="A1" sqref="A1"/>
    </sheetView>
  </sheetViews>
  <sheetFormatPr defaultColWidth="11.421875" defaultRowHeight="12.75"/>
  <cols>
    <col min="1" max="1" width="2.7109375" style="0" customWidth="1"/>
    <col min="2" max="2" width="10.7109375" style="0" customWidth="1"/>
    <col min="3" max="7" width="12.7109375" style="0" customWidth="1"/>
    <col min="8" max="15" width="10.7109375" style="0" customWidth="1"/>
  </cols>
  <sheetData>
    <row r="2" spans="2:3" ht="18">
      <c r="B2" s="264" t="s">
        <v>283</v>
      </c>
      <c r="C2" s="264"/>
    </row>
    <row r="4" spans="2:10" ht="12.75">
      <c r="B4" s="321" t="s">
        <v>262</v>
      </c>
      <c r="C4" s="322"/>
      <c r="D4" s="1427">
        <f>ZRB!G23</f>
        <v>0</v>
      </c>
      <c r="E4" s="1428"/>
      <c r="F4" s="299"/>
      <c r="G4" s="299"/>
      <c r="H4" s="299"/>
      <c r="I4" s="299"/>
      <c r="J4" s="299"/>
    </row>
    <row r="5" spans="2:10" ht="12.75">
      <c r="B5" s="323" t="s">
        <v>0</v>
      </c>
      <c r="C5" s="324"/>
      <c r="D5" s="1429" t="str">
        <f>ZRB!G11</f>
        <v>Stuttgart</v>
      </c>
      <c r="E5" s="1430"/>
      <c r="F5" s="300"/>
      <c r="G5" s="300"/>
      <c r="H5" s="300"/>
      <c r="I5" s="300"/>
      <c r="J5" s="300"/>
    </row>
    <row r="6" spans="2:10" ht="12.75">
      <c r="B6" s="323" t="s">
        <v>112</v>
      </c>
      <c r="C6" s="348"/>
      <c r="D6" s="1431">
        <f>ZRB!G6</f>
        <v>0</v>
      </c>
      <c r="E6" s="1432"/>
      <c r="F6" s="301"/>
      <c r="G6" s="301"/>
      <c r="H6" s="301"/>
      <c r="I6" s="301"/>
      <c r="J6" s="301"/>
    </row>
    <row r="7" spans="2:10" ht="12.75">
      <c r="B7" s="323" t="s">
        <v>290</v>
      </c>
      <c r="C7" s="348"/>
      <c r="D7" s="1433">
        <f>ZRB!G21</f>
        <v>20</v>
      </c>
      <c r="E7" s="1434"/>
      <c r="F7" s="301"/>
      <c r="G7" s="301"/>
      <c r="H7" s="301"/>
      <c r="I7" s="301"/>
      <c r="J7" s="301"/>
    </row>
    <row r="8" spans="2:10" ht="12.75">
      <c r="B8" s="323" t="s">
        <v>65</v>
      </c>
      <c r="C8" s="348"/>
      <c r="D8" s="1431" t="str">
        <f>ZRB!G12</f>
        <v>August  2014</v>
      </c>
      <c r="E8" s="1432"/>
      <c r="F8" s="301"/>
      <c r="G8" s="301"/>
      <c r="H8" s="301"/>
      <c r="I8" s="301"/>
      <c r="J8" s="301"/>
    </row>
    <row r="9" spans="2:10" ht="12.75">
      <c r="B9" s="323" t="s">
        <v>284</v>
      </c>
      <c r="C9" s="348"/>
      <c r="D9" s="1425">
        <f>ZRB!G28</f>
        <v>0</v>
      </c>
      <c r="E9" s="1426"/>
      <c r="F9" s="301"/>
      <c r="G9" s="301"/>
      <c r="H9" s="301"/>
      <c r="I9" s="301"/>
      <c r="J9" s="301"/>
    </row>
    <row r="10" spans="2:10" ht="12.75">
      <c r="B10" s="323" t="s">
        <v>326</v>
      </c>
      <c r="C10" s="348"/>
      <c r="D10" s="1425">
        <f>ZRB!F30/100</f>
        <v>0.3</v>
      </c>
      <c r="E10" s="1426"/>
      <c r="F10" s="301"/>
      <c r="G10" s="301"/>
      <c r="H10" s="301"/>
      <c r="I10" s="301"/>
      <c r="J10" s="301"/>
    </row>
    <row r="11" spans="2:10" ht="12.75">
      <c r="B11" s="325" t="s">
        <v>297</v>
      </c>
      <c r="C11" s="326"/>
      <c r="D11" s="389" t="str">
        <f>IF(E11=1,"Nein","Ja")</f>
        <v>Nein</v>
      </c>
      <c r="E11" s="396">
        <f>ZRB!G5</f>
        <v>1</v>
      </c>
      <c r="F11" s="301"/>
      <c r="G11" s="301"/>
      <c r="H11" s="301"/>
      <c r="I11" s="301"/>
      <c r="J11" s="301"/>
    </row>
    <row r="13" spans="2:11" ht="12.75">
      <c r="B13" s="1" t="s">
        <v>372</v>
      </c>
      <c r="K13" s="355" t="s">
        <v>105</v>
      </c>
    </row>
    <row r="14" spans="2:13" ht="12.75">
      <c r="B14" s="635">
        <v>0</v>
      </c>
      <c r="C14" s="636">
        <f>ZRB!O9*ZRB!Q9+ZRB!O10*ZRB!Q10+ZRB!O11*ZRB!Q11+ZRB!O12*ZRB!Q12</f>
        <v>0</v>
      </c>
      <c r="D14" s="636"/>
      <c r="E14" s="637"/>
      <c r="F14" s="637"/>
      <c r="G14" s="638">
        <f>ZRB!O13</f>
        <v>0</v>
      </c>
      <c r="H14" s="639"/>
      <c r="I14" s="640"/>
      <c r="J14" s="640"/>
      <c r="K14" s="641" t="e">
        <f>C14/G14</f>
        <v>#DIV/0!</v>
      </c>
      <c r="M14" s="1" t="s">
        <v>574</v>
      </c>
    </row>
    <row r="15" spans="2:13" ht="12.75">
      <c r="B15" s="631"/>
      <c r="C15" s="632"/>
      <c r="D15" s="632"/>
      <c r="E15" s="632"/>
      <c r="F15" s="632"/>
      <c r="G15" s="633"/>
      <c r="H15" s="634"/>
      <c r="K15" s="355"/>
      <c r="M15" s="1" t="s">
        <v>575</v>
      </c>
    </row>
    <row r="16" spans="8:13" ht="12.75">
      <c r="H16" s="354" t="s">
        <v>279</v>
      </c>
      <c r="M16">
        <f>ROUND(ZRB!G112,4)</f>
        <v>0</v>
      </c>
    </row>
    <row r="17" spans="3:11" ht="12.75">
      <c r="C17" s="355" t="s">
        <v>279</v>
      </c>
      <c r="D17" s="356" t="s">
        <v>285</v>
      </c>
      <c r="E17" s="356" t="s">
        <v>286</v>
      </c>
      <c r="F17" s="355" t="s">
        <v>287</v>
      </c>
      <c r="G17" s="355" t="s">
        <v>288</v>
      </c>
      <c r="H17" s="355" t="s">
        <v>289</v>
      </c>
      <c r="K17" s="355" t="s">
        <v>279</v>
      </c>
    </row>
    <row r="18" spans="2:11" ht="12.75">
      <c r="B18" s="357">
        <f>ZRB!K17</f>
        <v>0.01</v>
      </c>
      <c r="C18" s="360">
        <f aca="true" t="shared" si="0" ref="C18:C27">$C$29</f>
        <v>0</v>
      </c>
      <c r="D18" s="360">
        <f>ZRB!U24</f>
        <v>0</v>
      </c>
      <c r="E18" s="360">
        <f>ZRB!AI23</f>
        <v>0</v>
      </c>
      <c r="F18" s="360">
        <f>C18-D18-E18</f>
        <v>0</v>
      </c>
      <c r="G18" s="358">
        <f>ZRB!Y23</f>
        <v>0</v>
      </c>
      <c r="H18" s="359">
        <f>IF(G18=0,0,F18/G18)</f>
        <v>0</v>
      </c>
      <c r="J18" s="357">
        <v>0.01</v>
      </c>
      <c r="K18" s="359">
        <f aca="true" t="shared" si="1" ref="K18:K29">IF(B18&lt;$D$9,#N/A,H18+$M$16)</f>
        <v>0</v>
      </c>
    </row>
    <row r="19" spans="2:11" ht="12.75">
      <c r="B19" s="357">
        <f>ZRB!K28</f>
        <v>0.05</v>
      </c>
      <c r="C19" s="360">
        <f>$C$29</f>
        <v>0</v>
      </c>
      <c r="D19" s="360">
        <f>ZRB!U35</f>
        <v>0</v>
      </c>
      <c r="E19" s="360">
        <f>ZRB!AI34</f>
        <v>0</v>
      </c>
      <c r="F19" s="360">
        <f>C19-D19-E19</f>
        <v>0</v>
      </c>
      <c r="G19" s="358">
        <f>ZRB!Y34</f>
        <v>0</v>
      </c>
      <c r="H19" s="359">
        <f>IF(G19=0,0,F19/G19)</f>
        <v>0</v>
      </c>
      <c r="J19" s="357">
        <v>0.05</v>
      </c>
      <c r="K19" s="359">
        <f t="shared" si="1"/>
        <v>0</v>
      </c>
    </row>
    <row r="20" spans="2:13" ht="12.75">
      <c r="B20" s="357">
        <f>ZRB!K39</f>
        <v>0.1</v>
      </c>
      <c r="C20" s="360">
        <f t="shared" si="0"/>
        <v>0</v>
      </c>
      <c r="D20" s="360">
        <f>ZRB!U46</f>
        <v>0</v>
      </c>
      <c r="E20" s="360">
        <f>ZRB!AI45</f>
        <v>0</v>
      </c>
      <c r="F20" s="360">
        <f aca="true" t="shared" si="2" ref="F20:F29">C20-D20-E20</f>
        <v>0</v>
      </c>
      <c r="G20" s="358">
        <f>ZRB!Y45</f>
        <v>0</v>
      </c>
      <c r="H20" s="359">
        <f aca="true" t="shared" si="3" ref="H20:H29">IF(G20=0,0,F20/G20)</f>
        <v>0</v>
      </c>
      <c r="J20" s="357">
        <v>0.1</v>
      </c>
      <c r="K20" s="359">
        <f t="shared" si="1"/>
        <v>0</v>
      </c>
      <c r="M20" s="1"/>
    </row>
    <row r="21" spans="2:11" ht="12.75">
      <c r="B21" s="357">
        <f>ZRB!K50</f>
        <v>0.2</v>
      </c>
      <c r="C21" s="360">
        <f t="shared" si="0"/>
        <v>0</v>
      </c>
      <c r="D21" s="360">
        <f>ZRB!U57</f>
        <v>0</v>
      </c>
      <c r="E21" s="360">
        <f>ZRB!AI56</f>
        <v>0</v>
      </c>
      <c r="F21" s="360">
        <f t="shared" si="2"/>
        <v>0</v>
      </c>
      <c r="G21" s="358">
        <f>ZRB!Y56</f>
        <v>0</v>
      </c>
      <c r="H21" s="359">
        <f t="shared" si="3"/>
        <v>0</v>
      </c>
      <c r="J21" s="357">
        <v>0.2</v>
      </c>
      <c r="K21" s="359">
        <f t="shared" si="1"/>
        <v>0</v>
      </c>
    </row>
    <row r="22" spans="2:11" ht="12.75">
      <c r="B22" s="357">
        <f>ZRB!K61</f>
        <v>0.3</v>
      </c>
      <c r="C22" s="360">
        <f t="shared" si="0"/>
        <v>0</v>
      </c>
      <c r="D22" s="360">
        <f>ZRB!U68</f>
        <v>0</v>
      </c>
      <c r="E22" s="360">
        <f>ZRB!AI67</f>
        <v>0</v>
      </c>
      <c r="F22" s="360">
        <f t="shared" si="2"/>
        <v>0</v>
      </c>
      <c r="G22" s="358">
        <f>ZRB!Y67</f>
        <v>0</v>
      </c>
      <c r="H22" s="359">
        <f t="shared" si="3"/>
        <v>0</v>
      </c>
      <c r="J22" s="357">
        <v>0.3</v>
      </c>
      <c r="K22" s="359">
        <f t="shared" si="1"/>
        <v>0</v>
      </c>
    </row>
    <row r="23" spans="2:11" ht="12.75">
      <c r="B23" s="357">
        <f>ZRB!K72</f>
        <v>0.4</v>
      </c>
      <c r="C23" s="360">
        <f t="shared" si="0"/>
        <v>0</v>
      </c>
      <c r="D23" s="360">
        <f>ZRB!U79</f>
        <v>0</v>
      </c>
      <c r="E23" s="360">
        <f>ZRB!AI78</f>
        <v>0</v>
      </c>
      <c r="F23" s="360">
        <f t="shared" si="2"/>
        <v>0</v>
      </c>
      <c r="G23" s="358">
        <f>ZRB!Y78</f>
        <v>0</v>
      </c>
      <c r="H23" s="359">
        <f t="shared" si="3"/>
        <v>0</v>
      </c>
      <c r="J23" s="357">
        <v>0.4</v>
      </c>
      <c r="K23" s="359">
        <f t="shared" si="1"/>
        <v>0</v>
      </c>
    </row>
    <row r="24" spans="2:11" ht="12.75">
      <c r="B24" s="357">
        <f>ZRB!K83</f>
        <v>0.5</v>
      </c>
      <c r="C24" s="360">
        <f t="shared" si="0"/>
        <v>0</v>
      </c>
      <c r="D24" s="360">
        <f>ZRB!U90</f>
        <v>0</v>
      </c>
      <c r="E24" s="360">
        <f>ZRB!AI89</f>
        <v>0</v>
      </c>
      <c r="F24" s="360">
        <f t="shared" si="2"/>
        <v>0</v>
      </c>
      <c r="G24" s="358">
        <f>ZRB!Y89</f>
        <v>0</v>
      </c>
      <c r="H24" s="359">
        <f t="shared" si="3"/>
        <v>0</v>
      </c>
      <c r="J24" s="357">
        <v>0.5</v>
      </c>
      <c r="K24" s="359">
        <f t="shared" si="1"/>
        <v>0</v>
      </c>
    </row>
    <row r="25" spans="2:11" ht="12.75">
      <c r="B25" s="357">
        <f>ZRB!K94</f>
        <v>0.6</v>
      </c>
      <c r="C25" s="360">
        <f t="shared" si="0"/>
        <v>0</v>
      </c>
      <c r="D25" s="360">
        <f>ZRB!U101</f>
        <v>0</v>
      </c>
      <c r="E25" s="360">
        <f>ZRB!AI100</f>
        <v>0</v>
      </c>
      <c r="F25" s="360">
        <f t="shared" si="2"/>
        <v>0</v>
      </c>
      <c r="G25" s="358">
        <f>ZRB!Y100</f>
        <v>0</v>
      </c>
      <c r="H25" s="359">
        <f t="shared" si="3"/>
        <v>0</v>
      </c>
      <c r="J25" s="357">
        <v>0.6</v>
      </c>
      <c r="K25" s="359">
        <f t="shared" si="1"/>
        <v>0</v>
      </c>
    </row>
    <row r="26" spans="2:11" ht="12.75">
      <c r="B26" s="357">
        <f>ZRB!K105</f>
        <v>0.7</v>
      </c>
      <c r="C26" s="360">
        <f t="shared" si="0"/>
        <v>0</v>
      </c>
      <c r="D26" s="360">
        <f>ZRB!U112</f>
        <v>0</v>
      </c>
      <c r="E26" s="360">
        <f>ZRB!AI111</f>
        <v>0</v>
      </c>
      <c r="F26" s="360">
        <f t="shared" si="2"/>
        <v>0</v>
      </c>
      <c r="G26" s="358">
        <f>ZRB!Y111</f>
        <v>0</v>
      </c>
      <c r="H26" s="359">
        <f t="shared" si="3"/>
        <v>0</v>
      </c>
      <c r="J26" s="357">
        <v>0.7</v>
      </c>
      <c r="K26" s="359">
        <f t="shared" si="1"/>
        <v>0</v>
      </c>
    </row>
    <row r="27" spans="2:11" ht="12.75">
      <c r="B27" s="357">
        <f>ZRB!K116</f>
        <v>0.8</v>
      </c>
      <c r="C27" s="360">
        <f t="shared" si="0"/>
        <v>0</v>
      </c>
      <c r="D27" s="360">
        <f>ZRB!U123</f>
        <v>0</v>
      </c>
      <c r="E27" s="360">
        <f>ZRB!AI122</f>
        <v>0</v>
      </c>
      <c r="F27" s="360">
        <f t="shared" si="2"/>
        <v>0</v>
      </c>
      <c r="G27" s="358">
        <f>ZRB!Y122</f>
        <v>0</v>
      </c>
      <c r="H27" s="359">
        <f t="shared" si="3"/>
        <v>0</v>
      </c>
      <c r="J27" s="357">
        <v>0.8</v>
      </c>
      <c r="K27" s="359">
        <f t="shared" si="1"/>
        <v>0</v>
      </c>
    </row>
    <row r="28" spans="2:11" ht="12.75">
      <c r="B28" s="357">
        <f>ZRB!K127</f>
        <v>0.9</v>
      </c>
      <c r="C28" s="360">
        <f>$C$29</f>
        <v>0</v>
      </c>
      <c r="D28" s="360">
        <f>ZRB!U134</f>
        <v>0</v>
      </c>
      <c r="E28" s="360">
        <f>ZRB!AI133</f>
        <v>0</v>
      </c>
      <c r="F28" s="360">
        <f t="shared" si="2"/>
        <v>0</v>
      </c>
      <c r="G28" s="358">
        <f>ZRB!Y133</f>
        <v>0</v>
      </c>
      <c r="H28" s="359">
        <f t="shared" si="3"/>
        <v>0</v>
      </c>
      <c r="J28" s="357">
        <v>0.9</v>
      </c>
      <c r="K28" s="359">
        <f t="shared" si="1"/>
        <v>0</v>
      </c>
    </row>
    <row r="29" spans="2:11" ht="12.75">
      <c r="B29" s="357">
        <f>ZRB!K138</f>
        <v>1</v>
      </c>
      <c r="C29" s="360">
        <f>ZRB!G79</f>
        <v>0</v>
      </c>
      <c r="D29" s="360">
        <f>ZRB!U145</f>
        <v>0</v>
      </c>
      <c r="E29" s="360">
        <f>ZRB!AI144</f>
        <v>0</v>
      </c>
      <c r="F29" s="360">
        <f t="shared" si="2"/>
        <v>0</v>
      </c>
      <c r="G29" s="358">
        <f>ZRB!Y144</f>
        <v>0</v>
      </c>
      <c r="H29" s="359">
        <f t="shared" si="3"/>
        <v>0</v>
      </c>
      <c r="J29" s="357">
        <v>1</v>
      </c>
      <c r="K29" s="359">
        <f t="shared" si="1"/>
        <v>0</v>
      </c>
    </row>
    <row r="30" spans="2:11" ht="12.75">
      <c r="B30" s="353"/>
      <c r="H30" s="1" t="s">
        <v>281</v>
      </c>
      <c r="I30" s="357">
        <f>ZRB!F30/100</f>
        <v>0.3</v>
      </c>
      <c r="J30" s="357">
        <f>I30</f>
        <v>0.3</v>
      </c>
      <c r="K30" s="359">
        <f>ZRB!G87+$M$16</f>
        <v>0</v>
      </c>
    </row>
    <row r="32" ht="12.75">
      <c r="B32" s="656" t="s">
        <v>375</v>
      </c>
    </row>
    <row r="33" spans="2:17" ht="13.5" customHeight="1">
      <c r="B33" s="361"/>
      <c r="C33" s="372">
        <v>1</v>
      </c>
      <c r="D33" s="372">
        <v>5</v>
      </c>
      <c r="E33" s="372">
        <v>10</v>
      </c>
      <c r="F33" s="372">
        <v>20</v>
      </c>
      <c r="G33" s="372">
        <v>30</v>
      </c>
      <c r="H33" s="372">
        <v>40</v>
      </c>
      <c r="I33" s="372">
        <v>50</v>
      </c>
      <c r="J33" s="372">
        <v>60</v>
      </c>
      <c r="K33" s="372">
        <v>70</v>
      </c>
      <c r="L33" s="372">
        <v>80</v>
      </c>
      <c r="M33" s="372">
        <v>90</v>
      </c>
      <c r="N33" s="372">
        <v>100</v>
      </c>
      <c r="O33" s="362">
        <f>P33-0.01</f>
        <v>29.99</v>
      </c>
      <c r="P33" s="363">
        <f>J30*100</f>
        <v>30</v>
      </c>
      <c r="Q33" s="364">
        <v>0</v>
      </c>
    </row>
    <row r="34" spans="2:17" ht="12.75">
      <c r="B34" s="365"/>
      <c r="C34" s="366"/>
      <c r="D34" s="366"/>
      <c r="E34" s="366"/>
      <c r="F34" s="366"/>
      <c r="G34" s="366"/>
      <c r="H34" s="366"/>
      <c r="I34" s="366"/>
      <c r="J34" s="366"/>
      <c r="K34" s="367"/>
      <c r="L34" s="367"/>
      <c r="M34" s="367"/>
      <c r="N34" s="367"/>
      <c r="O34" s="374">
        <v>0</v>
      </c>
      <c r="P34" s="375">
        <f>IF(E11=1,0,K30)</f>
        <v>0</v>
      </c>
      <c r="Q34" s="376">
        <f>P34</f>
        <v>0</v>
      </c>
    </row>
    <row r="35" spans="2:17" ht="12.75">
      <c r="B35" s="368"/>
      <c r="C35" s="373">
        <f>IF(E11=1,0,K18)</f>
        <v>0</v>
      </c>
      <c r="D35" s="373">
        <f>IF(E11=1,0,K19)</f>
        <v>0</v>
      </c>
      <c r="E35" s="373">
        <f>IF(E11=1,0,K20)</f>
        <v>0</v>
      </c>
      <c r="F35" s="373">
        <f>IF(E11=1,0,K21)</f>
        <v>0</v>
      </c>
      <c r="G35" s="373">
        <f>IF(E11=1,0,K22)</f>
        <v>0</v>
      </c>
      <c r="H35" s="373">
        <f>IF(E11=1,0,K23)</f>
        <v>0</v>
      </c>
      <c r="I35" s="373">
        <f>IF(E11=1,0,K24)</f>
        <v>0</v>
      </c>
      <c r="J35" s="373">
        <f>IF(E11=1,0,K25)</f>
        <v>0</v>
      </c>
      <c r="K35" s="373">
        <f>IF(E11=1,0,K26)</f>
        <v>0</v>
      </c>
      <c r="L35" s="373">
        <f>IF(E11=1,0,K27)</f>
        <v>0</v>
      </c>
      <c r="M35" s="373">
        <f>IF(E11=1,0,K28)</f>
        <v>0</v>
      </c>
      <c r="N35" s="373">
        <f>IF(E11=1,0,K29)</f>
        <v>0</v>
      </c>
      <c r="O35" s="369"/>
      <c r="P35" s="370"/>
      <c r="Q35" s="371"/>
    </row>
    <row r="37" spans="2:4" ht="12.75">
      <c r="B37" s="381" t="s">
        <v>291</v>
      </c>
      <c r="C37" s="382"/>
      <c r="D37" s="359">
        <v>-0.3</v>
      </c>
    </row>
    <row r="38" spans="2:4" ht="12.75">
      <c r="B38" s="381" t="s">
        <v>292</v>
      </c>
      <c r="C38" s="382"/>
      <c r="D38" s="359">
        <v>0.5</v>
      </c>
    </row>
  </sheetData>
  <sheetProtection password="F30F" sheet="1"/>
  <mergeCells count="7">
    <mergeCell ref="D10:E10"/>
    <mergeCell ref="D4:E4"/>
    <mergeCell ref="D5:E5"/>
    <mergeCell ref="D6:E6"/>
    <mergeCell ref="D9:E9"/>
    <mergeCell ref="D8:E8"/>
    <mergeCell ref="D7:E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SchmidW</dc:creator>
  <cp:keywords/>
  <dc:description/>
  <cp:lastModifiedBy>Högen, Michaela</cp:lastModifiedBy>
  <cp:lastPrinted>2014-08-19T06:26:09Z</cp:lastPrinted>
  <dcterms:created xsi:type="dcterms:W3CDTF">2005-09-07T11:18:51Z</dcterms:created>
  <dcterms:modified xsi:type="dcterms:W3CDTF">2014-10-01T11:26:54Z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